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0490" windowHeight="7620" tabRatio="828" firstSheet="5" activeTab="11"/>
  </bookViews>
  <sheets>
    <sheet name="211 с" sheetId="33" state="hidden" r:id="rId1"/>
    <sheet name="213 с" sheetId="34" state="hidden" r:id="rId2"/>
    <sheet name="266с" sheetId="35" state="hidden" r:id="rId3"/>
    <sheet name="211 б" sheetId="36" state="hidden" r:id="rId4"/>
    <sheet name="213 б" sheetId="37" state="hidden" r:id="rId5"/>
    <sheet name="291 851" sheetId="6" r:id="rId6"/>
    <sheet name="291, 853" sheetId="7" r:id="rId7"/>
    <sheet name="221" sheetId="8" r:id="rId8"/>
    <sheet name="223" sheetId="9" r:id="rId9"/>
    <sheet name="223-4" sheetId="27" r:id="rId10"/>
    <sheet name="225" sheetId="10" r:id="rId11"/>
    <sheet name="226" sheetId="11" r:id="rId12"/>
    <sheet name="310" sheetId="20" r:id="rId13"/>
    <sheet name="310 с" sheetId="12" r:id="rId14"/>
    <sheet name="340" sheetId="21" r:id="rId15"/>
    <sheet name="340 с" sheetId="13" r:id="rId16"/>
  </sheets>
  <definedNames>
    <definedName name="_xlnm.Print_Area" localSheetId="3">'211 б'!$A$1:$L$17</definedName>
    <definedName name="_xlnm.Print_Area" localSheetId="4">'213 б'!$A$1:$G$22</definedName>
    <definedName name="_xlnm.Print_Area" localSheetId="1">'213 с'!$A$1:$G$24</definedName>
    <definedName name="_xlnm.Print_Area" localSheetId="2">'266с'!$A$1:$I$14</definedName>
  </definedNames>
  <calcPr calcId="162913"/>
</workbook>
</file>

<file path=xl/calcChain.xml><?xml version="1.0" encoding="utf-8"?>
<calcChain xmlns="http://schemas.openxmlformats.org/spreadsheetml/2006/main">
  <c r="K14" i="6" l="1"/>
  <c r="H14" i="6"/>
  <c r="J11" i="8"/>
  <c r="J17" i="8"/>
  <c r="J19" i="8"/>
  <c r="N11" i="8"/>
  <c r="N17" i="8" s="1"/>
  <c r="F11" i="8"/>
  <c r="N34" i="9"/>
  <c r="N29" i="9"/>
  <c r="J29" i="9"/>
  <c r="F29" i="9"/>
  <c r="J34" i="9"/>
  <c r="F34" i="9"/>
  <c r="N19" i="9"/>
  <c r="N15" i="9"/>
  <c r="J19" i="9"/>
  <c r="J15" i="9"/>
  <c r="F19" i="9"/>
  <c r="F15" i="9"/>
  <c r="H31" i="10" l="1"/>
  <c r="H33" i="10"/>
  <c r="F33" i="10"/>
  <c r="F31" i="10" s="1"/>
  <c r="D33" i="10"/>
  <c r="D31" i="10" s="1"/>
  <c r="D27" i="10"/>
  <c r="H14" i="10"/>
  <c r="H13" i="10"/>
  <c r="F16" i="10"/>
  <c r="D13" i="10"/>
  <c r="D13" i="11"/>
  <c r="H26" i="11"/>
  <c r="H21" i="11"/>
  <c r="H13" i="11" s="1"/>
  <c r="F21" i="11"/>
  <c r="F13" i="11" s="1"/>
  <c r="K18" i="11"/>
  <c r="D30" i="11"/>
  <c r="J18" i="11"/>
  <c r="D19" i="11"/>
  <c r="E14" i="12"/>
  <c r="F13" i="13"/>
  <c r="F12" i="13" s="1"/>
  <c r="E28" i="6"/>
  <c r="D16" i="12"/>
  <c r="E26" i="13"/>
  <c r="E29" i="21"/>
  <c r="E28" i="21"/>
  <c r="D22" i="11"/>
  <c r="D12" i="10"/>
  <c r="D11" i="10" s="1"/>
  <c r="F17" i="8"/>
  <c r="N34" i="21"/>
  <c r="L34" i="21"/>
  <c r="D34" i="21"/>
  <c r="N30" i="21"/>
  <c r="L30" i="21"/>
  <c r="D30" i="21"/>
  <c r="N19" i="21"/>
  <c r="J37" i="21"/>
  <c r="N13" i="21"/>
  <c r="N37" i="21" s="1"/>
  <c r="L13" i="21"/>
  <c r="D13" i="21"/>
  <c r="H22" i="11"/>
  <c r="F22" i="11"/>
  <c r="H27" i="10"/>
  <c r="F27" i="10"/>
  <c r="H19" i="10"/>
  <c r="F19" i="10"/>
  <c r="H17" i="10"/>
  <c r="F14" i="10"/>
  <c r="F11" i="10" s="1"/>
  <c r="L18" i="11" l="1"/>
  <c r="H11" i="10"/>
  <c r="F36" i="10"/>
  <c r="H33" i="11"/>
  <c r="F33" i="11"/>
  <c r="D33" i="11"/>
  <c r="F37" i="21"/>
  <c r="H36" i="10"/>
  <c r="D36" i="10"/>
  <c r="J14" i="20"/>
  <c r="J14" i="12"/>
  <c r="J13" i="12"/>
  <c r="K12" i="12"/>
  <c r="G14" i="12"/>
  <c r="G13" i="12"/>
  <c r="H12" i="12"/>
  <c r="K34" i="9"/>
  <c r="N32" i="9"/>
  <c r="K29" i="9"/>
  <c r="N27" i="9"/>
  <c r="N36" i="9" s="1"/>
  <c r="K19" i="9"/>
  <c r="N23" i="9"/>
  <c r="K15" i="9"/>
  <c r="K11" i="9"/>
  <c r="G34" i="9"/>
  <c r="J32" i="9"/>
  <c r="G29" i="9"/>
  <c r="J27" i="9"/>
  <c r="J36" i="9" s="1"/>
  <c r="G19" i="9"/>
  <c r="J23" i="9"/>
  <c r="G15" i="9"/>
  <c r="G11" i="9"/>
  <c r="C34" i="9"/>
  <c r="F32" i="9"/>
  <c r="C29" i="9"/>
  <c r="F27" i="9"/>
  <c r="F36" i="9" s="1"/>
  <c r="C19" i="9"/>
  <c r="F23" i="9"/>
  <c r="C15" i="9"/>
  <c r="C11" i="9"/>
  <c r="M17" i="8"/>
  <c r="E17" i="8"/>
  <c r="A1" i="37"/>
  <c r="A2" i="36"/>
  <c r="D16" i="36"/>
  <c r="E16" i="36" s="1"/>
  <c r="E17" i="36" s="1"/>
  <c r="I16" i="36"/>
  <c r="J16" i="36"/>
  <c r="C11" i="37" s="1"/>
  <c r="C17" i="36"/>
  <c r="D17" i="36"/>
  <c r="F17" i="36"/>
  <c r="G17" i="36"/>
  <c r="H17" i="36"/>
  <c r="I17" i="36"/>
  <c r="J17" i="36"/>
  <c r="J18" i="36" s="1"/>
  <c r="A1" i="35"/>
  <c r="H12" i="35"/>
  <c r="C14" i="35"/>
  <c r="D14" i="35"/>
  <c r="E14" i="35"/>
  <c r="F14" i="35"/>
  <c r="F9" i="35" s="1"/>
  <c r="G14" i="35"/>
  <c r="H14" i="35"/>
  <c r="A1" i="34"/>
  <c r="E8" i="34"/>
  <c r="C20" i="33"/>
  <c r="E20" i="33"/>
  <c r="F20" i="33"/>
  <c r="H20" i="33"/>
  <c r="I20" i="33"/>
  <c r="I17" i="8" l="1"/>
  <c r="C15" i="37"/>
  <c r="D15" i="37" s="1"/>
  <c r="E15" i="37" s="1"/>
  <c r="F15" i="37" s="1"/>
  <c r="C17" i="37"/>
  <c r="D11" i="37"/>
  <c r="K16" i="36"/>
  <c r="D14" i="12"/>
  <c r="K17" i="36" l="1"/>
  <c r="L16" i="36"/>
  <c r="L17" i="36" s="1"/>
  <c r="E11" i="37"/>
  <c r="G20" i="33"/>
  <c r="C20" i="37"/>
  <c r="D17" i="37"/>
  <c r="E17" i="37" s="1"/>
  <c r="F17" i="37" s="1"/>
  <c r="D20" i="33"/>
  <c r="K33" i="6"/>
  <c r="H33" i="6"/>
  <c r="F11" i="37" l="1"/>
  <c r="J20" i="33"/>
  <c r="C21" i="37"/>
  <c r="D20" i="37"/>
  <c r="E20" i="37" s="1"/>
  <c r="F20" i="37" s="1"/>
  <c r="E17" i="12"/>
  <c r="K20" i="33" l="1"/>
  <c r="D21" i="37"/>
  <c r="D24" i="37" s="1"/>
  <c r="E21" i="37"/>
  <c r="F21" i="37"/>
  <c r="M14" i="13"/>
  <c r="I14" i="13"/>
  <c r="F28" i="13"/>
  <c r="L20" i="33" l="1"/>
  <c r="C23" i="34"/>
  <c r="K12" i="27"/>
  <c r="L12" i="27" s="1"/>
  <c r="F23" i="34" l="1"/>
  <c r="D23" i="34"/>
  <c r="E23" i="34"/>
  <c r="I21" i="6"/>
  <c r="F21" i="6"/>
  <c r="C21" i="6"/>
  <c r="G23" i="34" l="1"/>
  <c r="N12" i="13"/>
  <c r="N28" i="13"/>
  <c r="J28" i="13"/>
  <c r="J12" i="13"/>
  <c r="E13" i="13"/>
  <c r="K12" i="20" l="1"/>
  <c r="K17" i="20"/>
  <c r="H12" i="20"/>
  <c r="H17" i="20"/>
  <c r="E12" i="20"/>
  <c r="E17" i="20"/>
  <c r="D12" i="27"/>
  <c r="O12" i="27" l="1"/>
  <c r="N16" i="27"/>
  <c r="F16" i="27"/>
  <c r="R16" i="27" l="1"/>
  <c r="P12" i="27"/>
  <c r="K19" i="7" l="1"/>
  <c r="H19" i="7"/>
  <c r="E19" i="7"/>
  <c r="K28" i="6"/>
  <c r="H28" i="6"/>
  <c r="I18" i="6"/>
  <c r="K16" i="6"/>
  <c r="K18" i="6" s="1"/>
  <c r="F18" i="6"/>
  <c r="H16" i="6"/>
  <c r="H18" i="6" s="1"/>
  <c r="N19" i="8" l="1"/>
  <c r="K17" i="12"/>
  <c r="H17" i="12"/>
  <c r="N38" i="9" l="1"/>
  <c r="J38" i="9"/>
  <c r="E16" i="6" l="1"/>
  <c r="C18" i="6" l="1"/>
  <c r="E18" i="6" l="1"/>
  <c r="E12" i="12" l="1"/>
  <c r="F38" i="9" l="1"/>
  <c r="F19" i="8"/>
</calcChain>
</file>

<file path=xl/sharedStrings.xml><?xml version="1.0" encoding="utf-8"?>
<sst xmlns="http://schemas.openxmlformats.org/spreadsheetml/2006/main" count="781" uniqueCount="259">
  <si>
    <t>1. Расчеты (обоснования) выплат персоналу</t>
  </si>
  <si>
    <t>1.1. Расчеты (обоснования) расходов на оплату труда</t>
  </si>
  <si>
    <t>№ п/п</t>
  </si>
  <si>
    <t>Должность, группа должностей</t>
  </si>
  <si>
    <t>в том числе:</t>
  </si>
  <si>
    <t>всего</t>
  </si>
  <si>
    <t>по должностному окладу</t>
  </si>
  <si>
    <t>по выплатам компенсационного характера</t>
  </si>
  <si>
    <t>по выплатам стимулирующекго характера</t>
  </si>
  <si>
    <t>Среднемесячный размер оплаты труда на одного работника, руб.</t>
  </si>
  <si>
    <t>Ежемесячная надбавка к должностному окладу,%</t>
  </si>
  <si>
    <t>Районный коэффицент</t>
  </si>
  <si>
    <t>Итого:</t>
  </si>
  <si>
    <t>Наименование расходов</t>
  </si>
  <si>
    <t>Количество выплат в год на одного работника</t>
  </si>
  <si>
    <t>Размер выплаты (пособия) в месяц, руб.</t>
  </si>
  <si>
    <r>
      <rPr>
        <b/>
        <sz val="10"/>
        <color theme="1"/>
        <rFont val="Times New Roman"/>
        <family val="1"/>
        <charset val="204"/>
      </rPr>
      <t>Код видов расходов:</t>
    </r>
    <r>
      <rPr>
        <sz val="10"/>
        <color theme="1"/>
        <rFont val="Times New Roman"/>
        <family val="1"/>
        <charset val="204"/>
      </rPr>
      <t xml:space="preserve"> Фонд оплаты труда учреждений</t>
    </r>
  </si>
  <si>
    <r>
      <t xml:space="preserve">Код видов расходов: </t>
    </r>
    <r>
      <rPr>
        <sz val="10"/>
        <color theme="1"/>
        <rFont val="Times New Roman"/>
        <family val="1"/>
        <charset val="204"/>
      </rPr>
      <t>Иные выплаты персоналу учреждений, за исключением фонда оплаты труда</t>
    </r>
  </si>
  <si>
    <r>
      <rPr>
        <b/>
        <sz val="10"/>
        <color theme="1"/>
        <rFont val="Times New Roman"/>
        <family val="1"/>
        <charset val="204"/>
      </rPr>
      <t>Код видов расходов:</t>
    </r>
    <r>
      <rPr>
        <sz val="10"/>
        <color theme="1"/>
        <rFont val="Times New Roman"/>
        <family val="1"/>
        <charset val="204"/>
      </rPr>
      <t xml:space="preserve"> Взносы по обязательному социальному страхованию на выплаты по оплате работников и иные выплаты работникам учреждений</t>
    </r>
  </si>
  <si>
    <t>Наименование государственного внебюджетного фонда</t>
  </si>
  <si>
    <t>Размер базы для начисления страховых взносов, руб.</t>
  </si>
  <si>
    <t>Страховые взносы в Пенсионный фонд российской Федерации, всего</t>
  </si>
  <si>
    <t>Х</t>
  </si>
  <si>
    <t>1.1.</t>
  </si>
  <si>
    <t>в том числе по ставке 22,0%</t>
  </si>
  <si>
    <t>1.2.</t>
  </si>
  <si>
    <t>по ставке 10,0 %</t>
  </si>
  <si>
    <t xml:space="preserve">1.3. </t>
  </si>
  <si>
    <t>С применением пониженных тарифов взносов в Пенсионный фонд Российской Федерации для отдельных категорий плательщиков</t>
  </si>
  <si>
    <t>2.</t>
  </si>
  <si>
    <t>1.</t>
  </si>
  <si>
    <t>Страховые взносы в Фонд социального страхования Российской Федерации, всего</t>
  </si>
  <si>
    <t>2.1.</t>
  </si>
  <si>
    <t>в том числе: обязательное социальное страхование на случай временной нетркудоспособности и в связи с материнством по ставке 2,9 %</t>
  </si>
  <si>
    <t>2.2.</t>
  </si>
  <si>
    <t>с применением ставки взносов в Фонд социального страхования российской Федерации по ставке 0,0%</t>
  </si>
  <si>
    <t>2.3.</t>
  </si>
  <si>
    <t>обязательное социальное страхование от несчастных случаев на производстве и профессиональных заболеваний по ставке 0,2 %</t>
  </si>
  <si>
    <t xml:space="preserve">2.4. </t>
  </si>
  <si>
    <t>2.5.</t>
  </si>
  <si>
    <t>обязательное социальное страхование от несчастных случаев на производстве и профессиональных заболеваний по ставке 0,_%</t>
  </si>
  <si>
    <t>3.</t>
  </si>
  <si>
    <t>Страховые взносы в Федеральный фонд обязательного медицинского страхования, всего (по ставке 5,1%)</t>
  </si>
  <si>
    <t>3. Расчет (обоснование) расходов на уплату налогов, сборов и иных платежей</t>
  </si>
  <si>
    <t>Код видов расходов: Уплата налога на имущество организаций и земельного налога</t>
  </si>
  <si>
    <t>Налоговая база, руб</t>
  </si>
  <si>
    <t>Ставка налога, %</t>
  </si>
  <si>
    <t>Сумма исчисленного налога, подлежащего уплате, руб ( гр.3*гр. 4/100)</t>
  </si>
  <si>
    <t>Налог на имущество, всего</t>
  </si>
  <si>
    <t>в том числе по группам: недвижимое имущество</t>
  </si>
  <si>
    <t>из них: переданное в аренду</t>
  </si>
  <si>
    <t>движимое имущество</t>
  </si>
  <si>
    <t>3. 1. Расчет (обоснование) расходов на оплату налога на имущество</t>
  </si>
  <si>
    <t>3.2. Расчет (обоснование) расходов на оплату земельного налога</t>
  </si>
  <si>
    <t>Кадастровая стоимость земельного участка</t>
  </si>
  <si>
    <t>Сумма, руб (гр. 3*гр. 4/100)</t>
  </si>
  <si>
    <t>Земельный налог, всего</t>
  </si>
  <si>
    <t>в том числе по участкам:</t>
  </si>
  <si>
    <t xml:space="preserve">3.3 Расчет (обоснование) расходов на оплату прочих налогов и  сборов </t>
  </si>
  <si>
    <r>
      <t xml:space="preserve">Код видов расходов: </t>
    </r>
    <r>
      <rPr>
        <sz val="10"/>
        <color theme="1"/>
        <rFont val="Times New Roman"/>
        <family val="1"/>
        <charset val="204"/>
      </rPr>
      <t>Уплата прочих налогов, сборов</t>
    </r>
  </si>
  <si>
    <t>Всего,руб (гр.3*гр 4/100)</t>
  </si>
  <si>
    <t xml:space="preserve">1. </t>
  </si>
  <si>
    <t>Транспортный налог</t>
  </si>
  <si>
    <t>в том числе: по транспортным средствам:</t>
  </si>
  <si>
    <t>налог за негативное воздействие на окружающую среду</t>
  </si>
  <si>
    <t>6. Расчет (обоснование) расходов на закупку товаров, работ, услуг</t>
  </si>
  <si>
    <r>
      <rPr>
        <b/>
        <sz val="10"/>
        <color theme="1"/>
        <rFont val="Times New Roman"/>
        <family val="1"/>
        <charset val="204"/>
      </rPr>
      <t>Код видов расходов:</t>
    </r>
    <r>
      <rPr>
        <sz val="10"/>
        <color theme="1"/>
        <rFont val="Times New Roman"/>
        <family val="1"/>
        <charset val="204"/>
      </rPr>
      <t xml:space="preserve"> прочая закупка товаров, работ и услуг для обеспечения государственных (муниципальных) нужд</t>
    </r>
  </si>
  <si>
    <t>Количество номеров</t>
  </si>
  <si>
    <t>Количество платежей в год</t>
  </si>
  <si>
    <t>Стоимость за единицу, руб</t>
  </si>
  <si>
    <t>Сумма, руб ( гр3*гр 4* гр.5)</t>
  </si>
  <si>
    <t>Абонентская плата за номер</t>
  </si>
  <si>
    <t>Повременная оплата междугородних, международных и местных телефонных соединений</t>
  </si>
  <si>
    <t>Оплата сотовой связи по тарифам</t>
  </si>
  <si>
    <t>Услуги телефонно-телеграфной, факсимильной, пейджинговой связи, радиосвязи</t>
  </si>
  <si>
    <t>Пересылка почтовой корреспонденции с использованием франкировальной машины</t>
  </si>
  <si>
    <t>Услуги фельдъегерской связи</t>
  </si>
  <si>
    <t>Услуги интернет- провайдеров</t>
  </si>
  <si>
    <t>Услуги электронной почты (электронный адрес)</t>
  </si>
  <si>
    <t>Размер потребления ресурсов</t>
  </si>
  <si>
    <t>Тариф (с учетом НДС), руб</t>
  </si>
  <si>
    <t>Индексация %</t>
  </si>
  <si>
    <t>Электроснабжение, всего</t>
  </si>
  <si>
    <t>в том числе по объектам:</t>
  </si>
  <si>
    <t>Теплоснабжение</t>
  </si>
  <si>
    <t>Горячее водоснабжение, всего</t>
  </si>
  <si>
    <t>Водоотведение, всего</t>
  </si>
  <si>
    <t>Количество договоров</t>
  </si>
  <si>
    <t>Стоимость услуги, руб</t>
  </si>
  <si>
    <t>Содержание объектов недвижимого имущества в чистоте</t>
  </si>
  <si>
    <t>биллинговое и техническое обслуживание приборов учета тепловой энергии</t>
  </si>
  <si>
    <t>промывка системы отопления</t>
  </si>
  <si>
    <t>уборка  снега с кровли</t>
  </si>
  <si>
    <t xml:space="preserve">противоклещевая обработка территорий </t>
  </si>
  <si>
    <t>техническое обслуживание зданий</t>
  </si>
  <si>
    <t>аварийно-техническое обслуживание</t>
  </si>
  <si>
    <t>Ремонт (текущий и капитальный) имущества</t>
  </si>
  <si>
    <t>поддержание технико-экономических и эксплуатационных показателей объектов имущества</t>
  </si>
  <si>
    <t>Противопожарные мероприятия, связанные с содержанием имущества</t>
  </si>
  <si>
    <t>измерение сопротивления изоляции электропроводки</t>
  </si>
  <si>
    <t>дезинфекция,  дератизация</t>
  </si>
  <si>
    <t>в том числе: устранение неисправностей (восстановление работоспособности) объектов имущества</t>
  </si>
  <si>
    <t>Количество работ (услуг)</t>
  </si>
  <si>
    <t>Оплата услуг на страхование гражданской ответственности владельцев транспортных средств</t>
  </si>
  <si>
    <t>Оплата услуг вневедомственной, пожарной охраны, всего</t>
  </si>
  <si>
    <t>Оплата информационно-вычислительных и информационно-правовых услуг</t>
  </si>
  <si>
    <t xml:space="preserve">Оплата услуг по проведению медицинского периодического осмотра  </t>
  </si>
  <si>
    <t>Оплата услуг по проведению санитарного минимума</t>
  </si>
  <si>
    <t>Оплата услуг по ведению и обслуживанию официального сайта в информационно-телекоммуникационной сети Интернет</t>
  </si>
  <si>
    <t>Оплата услуг по организации питания</t>
  </si>
  <si>
    <t xml:space="preserve">в том числе по объектам: </t>
  </si>
  <si>
    <t xml:space="preserve">Оплата услуг по бактериологическому исследованию пищевых продуктов </t>
  </si>
  <si>
    <t xml:space="preserve">Количество </t>
  </si>
  <si>
    <t>Средняя стоимость, руб</t>
  </si>
  <si>
    <t>Приобретение основных средств</t>
  </si>
  <si>
    <t>в том числе по группам объектам:</t>
  </si>
  <si>
    <t>Приобретение материалов</t>
  </si>
  <si>
    <t>Единица измерения</t>
  </si>
  <si>
    <t>Цена за единицу, руб</t>
  </si>
  <si>
    <t>в том числе по группам материалов:</t>
  </si>
  <si>
    <t>Сумма, руб (гр.3*гр.4*гр. 5)</t>
  </si>
  <si>
    <t>Водоснабжение, всего</t>
  </si>
  <si>
    <t>техническое обслуживание ИТП,АТП</t>
  </si>
  <si>
    <t>техническое обслуживание вентиляции</t>
  </si>
  <si>
    <t>поверочные работы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</si>
  <si>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</si>
  <si>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</si>
  <si>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</si>
  <si>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</si>
  <si>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</si>
  <si>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</si>
  <si>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</si>
  <si>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</si>
  <si>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</si>
  <si>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</si>
  <si>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</si>
  <si>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</si>
  <si>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поверка весов, манометров</t>
  </si>
  <si>
    <t>заправка картриджей</t>
  </si>
  <si>
    <t>ремонт оборудования</t>
  </si>
  <si>
    <t>Охрана объектов с помощью средств тревожной сигнализации GSM</t>
  </si>
  <si>
    <t>Централизованная охрана объектов</t>
  </si>
  <si>
    <t>Техническое обслуживание системы пожарной сигнализации</t>
  </si>
  <si>
    <t>Прочие:</t>
  </si>
  <si>
    <t>Мебель</t>
  </si>
  <si>
    <t>Хозяйственные товары</t>
  </si>
  <si>
    <t>шт</t>
  </si>
  <si>
    <t>Мягкий инвентарь</t>
  </si>
  <si>
    <t xml:space="preserve">всего </t>
  </si>
  <si>
    <t>Административный персонал</t>
  </si>
  <si>
    <t>Педагогический персонал</t>
  </si>
  <si>
    <t>Учебно-вспомогательный персонал</t>
  </si>
  <si>
    <t>Обслуживающий персонал</t>
  </si>
  <si>
    <t>Численность выплат в год на одного работника</t>
  </si>
  <si>
    <r>
      <rPr>
        <b/>
        <sz val="10"/>
        <color theme="1"/>
        <rFont val="Times New Roman"/>
        <family val="1"/>
        <charset val="204"/>
      </rPr>
      <t>Источник финансового обеспечения:</t>
    </r>
    <r>
      <rPr>
        <sz val="10"/>
        <color theme="1"/>
        <rFont val="Times New Roman"/>
        <family val="1"/>
        <charset val="204"/>
      </rPr>
      <t xml:space="preserve">  </t>
    </r>
    <r>
      <rPr>
        <u/>
        <sz val="10"/>
        <color theme="1"/>
        <rFont val="Times New Roman"/>
        <family val="1"/>
        <charset val="204"/>
      </rPr>
      <t>Субвенция из бюджета Иркутской области</t>
    </r>
  </si>
  <si>
    <r>
      <rPr>
        <b/>
        <sz val="10"/>
        <color theme="1"/>
        <rFont val="Times New Roman"/>
        <family val="1"/>
        <charset val="204"/>
      </rPr>
      <t>Источник финансового обеспечения:</t>
    </r>
    <r>
      <rPr>
        <sz val="10"/>
        <color theme="1"/>
        <rFont val="Times New Roman"/>
        <family val="1"/>
        <charset val="204"/>
      </rPr>
      <t xml:space="preserve"> </t>
    </r>
    <r>
      <rPr>
        <u/>
        <sz val="10"/>
        <color theme="1"/>
        <rFont val="Times New Roman"/>
        <family val="1"/>
        <charset val="204"/>
      </rPr>
      <t>Бюджет г. Иркутска</t>
    </r>
  </si>
  <si>
    <t>Установ-ленная численность, единиц</t>
  </si>
  <si>
    <r>
      <t xml:space="preserve">Источник финансового обеспечения: </t>
    </r>
    <r>
      <rPr>
        <u/>
        <sz val="10"/>
        <color theme="1"/>
        <rFont val="Times New Roman"/>
        <family val="1"/>
        <charset val="204"/>
      </rPr>
      <t>Субвенция из бюджета Иркутской области</t>
    </r>
  </si>
  <si>
    <t>руб.</t>
  </si>
  <si>
    <r>
      <rPr>
        <b/>
        <sz val="10"/>
        <color theme="1"/>
        <rFont val="Times New Roman"/>
        <family val="1"/>
        <charset val="204"/>
      </rPr>
      <t>Источник финансового обеспечения:</t>
    </r>
    <r>
      <rPr>
        <sz val="10"/>
        <color theme="1"/>
        <rFont val="Times New Roman"/>
        <family val="1"/>
        <charset val="204"/>
      </rPr>
      <t xml:space="preserve"> </t>
    </r>
    <r>
      <rPr>
        <u/>
        <sz val="10"/>
        <color theme="1"/>
        <rFont val="Times New Roman"/>
        <family val="1"/>
        <charset val="204"/>
      </rPr>
      <t>Субвенция из бюджета Иркутской области</t>
    </r>
  </si>
  <si>
    <t xml:space="preserve">руб. </t>
  </si>
  <si>
    <r>
      <rPr>
        <b/>
        <sz val="10"/>
        <color theme="1"/>
        <rFont val="Times New Roman"/>
        <family val="1"/>
        <charset val="204"/>
      </rPr>
      <t>Источник финансового обеспечения:</t>
    </r>
    <r>
      <rPr>
        <u/>
        <sz val="10"/>
        <color theme="1"/>
        <rFont val="Times New Roman"/>
        <family val="1"/>
        <charset val="204"/>
      </rPr>
      <t xml:space="preserve"> Бюджет г. Иркутска</t>
    </r>
  </si>
  <si>
    <t>Расчеты (обоснования) к плану финансово-хозяйственной деятельности   муниципального  учреждения  детский  сад №  139</t>
  </si>
  <si>
    <t>Расчеты (обоснования) к плану финансово-хозяйственной деятельности  МБДОУ г. Иркутска детский сад № 139</t>
  </si>
  <si>
    <t>МБДОУ г. Иркутска детский сад № 139</t>
  </si>
  <si>
    <r>
      <rPr>
        <b/>
        <sz val="10"/>
        <color theme="1"/>
        <rFont val="Times New Roman"/>
        <family val="1"/>
        <charset val="204"/>
      </rPr>
      <t>Источник финансового обеспечения:</t>
    </r>
    <r>
      <rPr>
        <u/>
        <sz val="10"/>
        <color theme="1"/>
        <rFont val="Times New Roman"/>
        <family val="1"/>
        <charset val="204"/>
      </rPr>
      <t xml:space="preserve"> Субвенция из бюджета Иркутской области</t>
    </r>
  </si>
  <si>
    <t xml:space="preserve">Водоотведение </t>
  </si>
  <si>
    <t xml:space="preserve">Водоснабжение </t>
  </si>
  <si>
    <t>огнезащитная обработка</t>
  </si>
  <si>
    <t>Сумма, руб (гр.3*гр.4)</t>
  </si>
  <si>
    <t>Сумма, руб (гр.4*гр.5)</t>
  </si>
  <si>
    <t>2021 год</t>
  </si>
  <si>
    <t>игры,игрушки</t>
  </si>
  <si>
    <t>канцелярские товары</t>
  </si>
  <si>
    <t>Обслуживание магнитных замков</t>
  </si>
  <si>
    <t>техническое обслуживание домофона</t>
  </si>
  <si>
    <t xml:space="preserve">Фонд оплаты труда 2021 год, руб.  </t>
  </si>
  <si>
    <t>Сумма взноса в 2021 г.,руб.</t>
  </si>
  <si>
    <t>расходы на выплату повышающего коэффициента молодым спец в месяц</t>
  </si>
  <si>
    <t>Сумма взноса на 2021 г.,руб.</t>
  </si>
  <si>
    <t>2018 год</t>
  </si>
  <si>
    <t>Объем потребления в год м.куб.</t>
  </si>
  <si>
    <t xml:space="preserve">Сумма, руб </t>
  </si>
  <si>
    <t>Обращение с твердыми коммунальными отходами, всего</t>
  </si>
  <si>
    <t>Увеличение стоимости стройматериалов</t>
  </si>
  <si>
    <t>Электротехнические материалы</t>
  </si>
  <si>
    <t>Песок в песочницы</t>
  </si>
  <si>
    <t>тонна</t>
  </si>
  <si>
    <t>Сантехника</t>
  </si>
  <si>
    <t>Прочее</t>
  </si>
  <si>
    <t>Прочие оборотные запасы</t>
  </si>
  <si>
    <t>Посуда, кух. Инвентарь</t>
  </si>
  <si>
    <t>Канцтовары</t>
  </si>
  <si>
    <t>Игрушки</t>
  </si>
  <si>
    <t>Метод., нагляд. Пособия</t>
  </si>
  <si>
    <t>Запчасти для оборудования</t>
  </si>
  <si>
    <t>тш</t>
  </si>
  <si>
    <t>Постельное белье</t>
  </si>
  <si>
    <t>Халаты для персонала,полотенца</t>
  </si>
  <si>
    <t>Прочие материальные запасы однократного применения</t>
  </si>
  <si>
    <t>Бланки строгой отчетности</t>
  </si>
  <si>
    <t>Сувенирная продукция</t>
  </si>
  <si>
    <t>земля</t>
  </si>
  <si>
    <t>методическое пособие</t>
  </si>
  <si>
    <t>дидактический материал</t>
  </si>
  <si>
    <t>наглядное пособие</t>
  </si>
  <si>
    <t>бланки,открытки</t>
  </si>
  <si>
    <t xml:space="preserve">Расчеты (обоснования) выплат персоналу </t>
  </si>
  <si>
    <t>1.3 Расчеты (обоснования) выплат персоналу по уходу за ребенком  и  по временной нетрудоспособности за счет работодателя</t>
  </si>
  <si>
    <t>Выплаты по уходу за ребенком</t>
  </si>
  <si>
    <t>Выплаты по временной нетрудоспособности за счет работодателя</t>
  </si>
  <si>
    <t>Установленная численность, единиц</t>
  </si>
  <si>
    <t>педагогические работники</t>
  </si>
  <si>
    <t>с плана</t>
  </si>
  <si>
    <t xml:space="preserve">Фонд оплаты труда 2022 год, руб.  </t>
  </si>
  <si>
    <t>Сумма взноса в 2022 г.,руб.</t>
  </si>
  <si>
    <t>Сумма взноса на 2022 г.,руб.</t>
  </si>
  <si>
    <t>2022 год</t>
  </si>
  <si>
    <t>211-1</t>
  </si>
  <si>
    <t>211-2</t>
  </si>
  <si>
    <t>213-1</t>
  </si>
  <si>
    <t>213-2</t>
  </si>
  <si>
    <r>
      <rPr>
        <b/>
        <sz val="10"/>
        <color theme="1"/>
        <rFont val="Times New Roman"/>
        <family val="1"/>
        <charset val="204"/>
      </rPr>
      <t>Код видов расходов:</t>
    </r>
    <r>
      <rPr>
        <sz val="10"/>
        <color theme="1"/>
        <rFont val="Times New Roman"/>
        <family val="1"/>
        <charset val="204"/>
      </rPr>
      <t xml:space="preserve"> Фонд оплаты труда учреждений </t>
    </r>
  </si>
  <si>
    <t>Испытание пожарных лестниц и кровли</t>
  </si>
  <si>
    <t>Предоставление права использования и абонентское обслуживание</t>
  </si>
  <si>
    <t>Аттестация рабочих мест</t>
  </si>
  <si>
    <t>Техническое обслуживание системы видеонаблюдения</t>
  </si>
  <si>
    <t>Независимая оценка качества</t>
  </si>
  <si>
    <t>Медицинское оборудование</t>
  </si>
  <si>
    <t>Машина стиральная</t>
  </si>
  <si>
    <t>Обогреватель инфракрасный</t>
  </si>
  <si>
    <t>Интерактивная доска</t>
  </si>
  <si>
    <t>Игровые наборы</t>
  </si>
  <si>
    <t>Стройматериалы</t>
  </si>
  <si>
    <t>План эвакуации</t>
  </si>
  <si>
    <t>2023 год</t>
  </si>
  <si>
    <t>подготовка к зиме</t>
  </si>
  <si>
    <t xml:space="preserve">Фонд оплаты труда 2023 год, руб.  </t>
  </si>
  <si>
    <t>Размер оплаты труда, руб.</t>
  </si>
  <si>
    <t>2021-2022</t>
  </si>
  <si>
    <t>Сумма взноса в 2023 г.,руб.</t>
  </si>
  <si>
    <t>Размер базы для начисления страховых взносов 2023, руб.</t>
  </si>
  <si>
    <t>Размер базы для начисления страховых взносов 2021-2022 гг., руб.</t>
  </si>
  <si>
    <t xml:space="preserve">Сумма на 2023 г., руб. </t>
  </si>
  <si>
    <t xml:space="preserve">Сумма на 2022 г., руб. </t>
  </si>
  <si>
    <t xml:space="preserve">Сумма на 2021 г., руб. </t>
  </si>
  <si>
    <t>Фонд оплаты труда на 2023 год, руб.</t>
  </si>
  <si>
    <t>Фонд оплаты труда на 2022 год, руб</t>
  </si>
  <si>
    <t>Фонд оплаты труда на 2021 год, руб.гр3*гр4*12</t>
  </si>
  <si>
    <t>Сумма взноса на 2023 г.,руб.</t>
  </si>
  <si>
    <t>2024 год</t>
  </si>
  <si>
    <t>физическая охрана</t>
  </si>
  <si>
    <t>Исследование пищевых продуктов</t>
  </si>
  <si>
    <t xml:space="preserve">Производство ликвидаций аварий внутридомового инженерного </t>
  </si>
  <si>
    <t xml:space="preserve">выполнение работ по техническоскому обслуживанию зданий </t>
  </si>
  <si>
    <t>песочница с крышкой</t>
  </si>
  <si>
    <t>пени</t>
  </si>
  <si>
    <t>2025 год</t>
  </si>
  <si>
    <t xml:space="preserve">Профессиональная гигиеническая подготовка работников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</si>
</sst>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_р_._-;\-* #,##0.00_р_._-;_-* &quot;-&quot;??_р_._-;_-@_-"/>
    <numFmt numFmtId="165" formatCode="_-* #,##0\ _₽_-;\-* #,##0\ _₽_-;_-* &quot;-&quot;\ _₽_-;_-@_-"/>
    <numFmt numFmtId="166" formatCode="#,##0.000_ ;\-#,##0.000\ "/>
    <numFmt numFmtId="167" formatCode="#,##0.00_ ;\-#,##0.00\ "/>
    <numFmt numFmtId="168" formatCode="#,##0.0_р_.;\-#,##0.0_р_."/>
    <numFmt numFmtId="169" formatCode="0.0000"/>
    <numFmt numFmtId="170" formatCode="0.00000"/>
    <numFmt numFmtId="171" formatCode="0.000"/>
    <numFmt numFmtId="172" formatCode="0.0"/>
  </numFmts>
  <fonts count="17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rgb="FF7030A0"/>
      <name val="Times New Roman"/>
      <family val="1"/>
      <charset val="204"/>
    </font>
    <font>
      <b/>
      <sz val="10"/>
      <color rgb="FF7030A0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231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wrapText="1" shrinkToFi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 shrinkToFit="1"/>
    </xf>
    <xf numFmtId="0" fontId="2" fillId="0" borderId="0" xfId="0" applyFont="1"/>
    <xf numFmtId="0" fontId="2" fillId="0" borderId="1" xfId="0" applyFont="1" applyBorder="1" applyAlignment="1">
      <alignment wrapText="1" shrinkToFit="1"/>
    </xf>
    <xf numFmtId="0" fontId="1" fillId="0" borderId="1" xfId="0" applyFont="1" applyBorder="1" applyAlignment="1">
      <alignment horizontal="center" vertical="center" wrapText="1" shrinkToFit="1"/>
    </xf>
    <xf numFmtId="16" fontId="1" fillId="0" borderId="1" xfId="0" applyNumberFormat="1" applyFont="1" applyBorder="1" applyAlignment="1">
      <alignment wrapText="1" shrinkToFit="1"/>
    </xf>
    <xf numFmtId="16" fontId="1" fillId="0" borderId="0" xfId="0" applyNumberFormat="1" applyFont="1"/>
    <xf numFmtId="0" fontId="1" fillId="0" borderId="0" xfId="0" applyFont="1" applyBorder="1" applyAlignment="1">
      <alignment wrapText="1" shrinkToFit="1"/>
    </xf>
    <xf numFmtId="0" fontId="1" fillId="0" borderId="0" xfId="0" applyFont="1" applyBorder="1"/>
    <xf numFmtId="0" fontId="1" fillId="0" borderId="1" xfId="0" applyFont="1" applyBorder="1" applyAlignment="1">
      <alignment shrinkToFit="1"/>
    </xf>
    <xf numFmtId="0" fontId="1" fillId="0" borderId="2" xfId="0" applyFont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 indent="1"/>
    </xf>
    <xf numFmtId="0" fontId="4" fillId="0" borderId="0" xfId="0" applyFont="1"/>
    <xf numFmtId="0" fontId="6" fillId="0" borderId="0" xfId="0" applyFont="1"/>
    <xf numFmtId="0" fontId="1" fillId="2" borderId="1" xfId="0" applyFont="1" applyFill="1" applyBorder="1"/>
    <xf numFmtId="39" fontId="1" fillId="0" borderId="1" xfId="0" applyNumberFormat="1" applyFont="1" applyBorder="1"/>
    <xf numFmtId="0" fontId="1" fillId="2" borderId="1" xfId="0" applyFont="1" applyFill="1" applyBorder="1" applyAlignment="1">
      <alignment wrapText="1" shrinkToFit="1"/>
    </xf>
    <xf numFmtId="0" fontId="2" fillId="2" borderId="1" xfId="0" applyFont="1" applyFill="1" applyBorder="1" applyAlignment="1">
      <alignment horizontal="right" wrapText="1" shrinkToFit="1"/>
    </xf>
    <xf numFmtId="0" fontId="2" fillId="2" borderId="1" xfId="0" applyFont="1" applyFill="1" applyBorder="1" applyAlignment="1">
      <alignment wrapText="1" shrinkToFit="1"/>
    </xf>
    <xf numFmtId="0" fontId="6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9" fontId="1" fillId="0" borderId="1" xfId="0" applyNumberFormat="1" applyFont="1" applyBorder="1" applyAlignment="1">
      <alignment wrapText="1" shrinkToFit="1"/>
    </xf>
    <xf numFmtId="39" fontId="1" fillId="0" borderId="1" xfId="0" applyNumberFormat="1" applyFont="1" applyBorder="1" applyAlignment="1">
      <alignment horizontal="center" vertical="center" wrapText="1" shrinkToFit="1"/>
    </xf>
    <xf numFmtId="39" fontId="1" fillId="2" borderId="1" xfId="0" applyNumberFormat="1" applyFont="1" applyFill="1" applyBorder="1" applyAlignment="1">
      <alignment horizontal="center" vertical="center" wrapText="1" shrinkToFit="1"/>
    </xf>
    <xf numFmtId="0" fontId="1" fillId="0" borderId="2" xfId="0" applyFont="1" applyBorder="1" applyAlignment="1">
      <alignment horizontal="center" wrapText="1" shrinkToFit="1"/>
    </xf>
    <xf numFmtId="0" fontId="2" fillId="2" borderId="1" xfId="0" applyFont="1" applyFill="1" applyBorder="1"/>
    <xf numFmtId="0" fontId="1" fillId="2" borderId="1" xfId="0" applyFont="1" applyFill="1" applyBorder="1" applyAlignment="1">
      <alignment horizontal="center" wrapText="1" shrinkToFit="1"/>
    </xf>
    <xf numFmtId="39" fontId="2" fillId="2" borderId="1" xfId="0" applyNumberFormat="1" applyFont="1" applyFill="1" applyBorder="1"/>
    <xf numFmtId="0" fontId="2" fillId="2" borderId="1" xfId="0" applyFont="1" applyFill="1" applyBorder="1" applyAlignment="1">
      <alignment horizontal="center" wrapText="1" shrinkToFit="1"/>
    </xf>
    <xf numFmtId="39" fontId="2" fillId="2" borderId="1" xfId="0" applyNumberFormat="1" applyFont="1" applyFill="1" applyBorder="1" applyAlignment="1">
      <alignment horizontal="center" vertical="center" wrapText="1" shrinkToFit="1"/>
    </xf>
    <xf numFmtId="166" fontId="1" fillId="0" borderId="1" xfId="0" applyNumberFormat="1" applyFont="1" applyBorder="1" applyAlignment="1">
      <alignment wrapText="1" shrinkToFit="1"/>
    </xf>
    <xf numFmtId="167" fontId="1" fillId="0" borderId="0" xfId="0" applyNumberFormat="1" applyFont="1"/>
    <xf numFmtId="0" fontId="1" fillId="0" borderId="1" xfId="0" applyFont="1" applyFill="1" applyBorder="1"/>
    <xf numFmtId="39" fontId="1" fillId="0" borderId="1" xfId="0" applyNumberFormat="1" applyFont="1" applyFill="1" applyBorder="1"/>
    <xf numFmtId="0" fontId="4" fillId="0" borderId="0" xfId="0" applyFont="1" applyAlignment="1">
      <alignment wrapText="1"/>
    </xf>
    <xf numFmtId="0" fontId="1" fillId="0" borderId="2" xfId="0" applyFont="1" applyBorder="1" applyAlignment="1">
      <alignment wrapText="1" shrinkToFit="1"/>
    </xf>
    <xf numFmtId="0" fontId="1" fillId="2" borderId="2" xfId="0" applyFont="1" applyFill="1" applyBorder="1" applyAlignment="1">
      <alignment wrapText="1" shrinkToFit="1"/>
    </xf>
    <xf numFmtId="0" fontId="1" fillId="0" borderId="11" xfId="0" applyFont="1" applyBorder="1" applyAlignment="1">
      <alignment horizontal="center" wrapText="1" shrinkToFit="1"/>
    </xf>
    <xf numFmtId="0" fontId="1" fillId="0" borderId="12" xfId="0" applyFont="1" applyBorder="1" applyAlignment="1">
      <alignment horizontal="center" wrapText="1" shrinkToFit="1"/>
    </xf>
    <xf numFmtId="0" fontId="1" fillId="0" borderId="11" xfId="0" applyFont="1" applyBorder="1" applyAlignment="1">
      <alignment wrapText="1" shrinkToFit="1"/>
    </xf>
    <xf numFmtId="0" fontId="1" fillId="0" borderId="12" xfId="0" applyFont="1" applyBorder="1" applyAlignment="1">
      <alignment wrapText="1" shrinkToFit="1"/>
    </xf>
    <xf numFmtId="39" fontId="1" fillId="0" borderId="11" xfId="0" applyNumberFormat="1" applyFont="1" applyBorder="1" applyAlignment="1">
      <alignment wrapText="1" shrinkToFit="1"/>
    </xf>
    <xf numFmtId="39" fontId="1" fillId="0" borderId="12" xfId="0" applyNumberFormat="1" applyFont="1" applyBorder="1" applyAlignment="1">
      <alignment wrapText="1" shrinkToFit="1"/>
    </xf>
    <xf numFmtId="39" fontId="2" fillId="2" borderId="13" xfId="0" applyNumberFormat="1" applyFont="1" applyFill="1" applyBorder="1" applyAlignment="1">
      <alignment wrapText="1" shrinkToFit="1"/>
    </xf>
    <xf numFmtId="39" fontId="1" fillId="2" borderId="14" xfId="0" applyNumberFormat="1" applyFont="1" applyFill="1" applyBorder="1" applyAlignment="1">
      <alignment horizontal="center" vertical="center" wrapText="1" shrinkToFit="1"/>
    </xf>
    <xf numFmtId="39" fontId="2" fillId="2" borderId="15" xfId="0" applyNumberFormat="1" applyFont="1" applyFill="1" applyBorder="1" applyAlignment="1">
      <alignment wrapText="1" shrinkToFit="1"/>
    </xf>
    <xf numFmtId="0" fontId="1" fillId="0" borderId="2" xfId="0" applyFont="1" applyBorder="1"/>
    <xf numFmtId="2" fontId="1" fillId="0" borderId="11" xfId="0" applyNumberFormat="1" applyFont="1" applyBorder="1" applyAlignment="1">
      <alignment wrapText="1" shrinkToFit="1"/>
    </xf>
    <xf numFmtId="2" fontId="1" fillId="0" borderId="12" xfId="0" applyNumberFormat="1" applyFont="1" applyBorder="1" applyAlignment="1">
      <alignment wrapText="1" shrinkToFit="1"/>
    </xf>
    <xf numFmtId="2" fontId="1" fillId="0" borderId="11" xfId="0" applyNumberFormat="1" applyFont="1" applyBorder="1"/>
    <xf numFmtId="0" fontId="1" fillId="0" borderId="12" xfId="0" applyFont="1" applyBorder="1"/>
    <xf numFmtId="0" fontId="1" fillId="2" borderId="13" xfId="0" applyFont="1" applyFill="1" applyBorder="1" applyAlignment="1">
      <alignment horizontal="center" vertical="center" wrapText="1" shrinkToFit="1"/>
    </xf>
    <xf numFmtId="0" fontId="1" fillId="2" borderId="14" xfId="0" applyFont="1" applyFill="1" applyBorder="1" applyAlignment="1">
      <alignment horizontal="center" vertical="center" wrapText="1" shrinkToFit="1"/>
    </xf>
    <xf numFmtId="2" fontId="2" fillId="2" borderId="15" xfId="0" applyNumberFormat="1" applyFont="1" applyFill="1" applyBorder="1"/>
    <xf numFmtId="0" fontId="1" fillId="0" borderId="2" xfId="0" applyFont="1" applyBorder="1" applyAlignment="1">
      <alignment wrapText="1"/>
    </xf>
    <xf numFmtId="0" fontId="2" fillId="2" borderId="2" xfId="0" applyFont="1" applyFill="1" applyBorder="1"/>
    <xf numFmtId="39" fontId="1" fillId="0" borderId="11" xfId="0" applyNumberFormat="1" applyFont="1" applyBorder="1"/>
    <xf numFmtId="39" fontId="1" fillId="0" borderId="12" xfId="0" applyNumberFormat="1" applyFont="1" applyBorder="1"/>
    <xf numFmtId="39" fontId="2" fillId="2" borderId="13" xfId="0" applyNumberFormat="1" applyFont="1" applyFill="1" applyBorder="1" applyAlignment="1">
      <alignment horizontal="center" vertical="center" wrapText="1" shrinkToFit="1"/>
    </xf>
    <xf numFmtId="39" fontId="2" fillId="2" borderId="14" xfId="0" applyNumberFormat="1" applyFont="1" applyFill="1" applyBorder="1" applyAlignment="1">
      <alignment horizontal="center" vertical="center" wrapText="1" shrinkToFit="1"/>
    </xf>
    <xf numFmtId="39" fontId="2" fillId="2" borderId="15" xfId="0" applyNumberFormat="1" applyFont="1" applyFill="1" applyBorder="1"/>
    <xf numFmtId="0" fontId="2" fillId="2" borderId="2" xfId="0" applyFont="1" applyFill="1" applyBorder="1" applyAlignment="1">
      <alignment horizontal="center" wrapText="1" shrinkToFit="1"/>
    </xf>
    <xf numFmtId="39" fontId="1" fillId="0" borderId="12" xfId="0" applyNumberFormat="1" applyFont="1" applyBorder="1" applyAlignment="1">
      <alignment horizontal="right" wrapText="1" indent="2" shrinkToFit="1"/>
    </xf>
    <xf numFmtId="39" fontId="1" fillId="2" borderId="11" xfId="0" applyNumberFormat="1" applyFont="1" applyFill="1" applyBorder="1" applyAlignment="1">
      <alignment horizontal="center" vertical="center" wrapText="1" shrinkToFit="1"/>
    </xf>
    <xf numFmtId="39" fontId="2" fillId="2" borderId="12" xfId="0" applyNumberFormat="1" applyFont="1" applyFill="1" applyBorder="1" applyAlignment="1">
      <alignment horizontal="center" wrapText="1" shrinkToFit="1"/>
    </xf>
    <xf numFmtId="0" fontId="2" fillId="0" borderId="2" xfId="0" applyFont="1" applyFill="1" applyBorder="1"/>
    <xf numFmtId="0" fontId="1" fillId="0" borderId="2" xfId="0" applyFont="1" applyFill="1" applyBorder="1"/>
    <xf numFmtId="39" fontId="1" fillId="0" borderId="11" xfId="0" applyNumberFormat="1" applyFont="1" applyFill="1" applyBorder="1"/>
    <xf numFmtId="39" fontId="1" fillId="0" borderId="12" xfId="0" applyNumberFormat="1" applyFont="1" applyFill="1" applyBorder="1"/>
    <xf numFmtId="39" fontId="2" fillId="0" borderId="12" xfId="0" applyNumberFormat="1" applyFont="1" applyFill="1" applyBorder="1"/>
    <xf numFmtId="39" fontId="1" fillId="2" borderId="13" xfId="0" applyNumberFormat="1" applyFont="1" applyFill="1" applyBorder="1" applyAlignment="1">
      <alignment horizontal="center" vertical="center" wrapText="1" shrinkToFit="1"/>
    </xf>
    <xf numFmtId="168" fontId="2" fillId="2" borderId="15" xfId="0" applyNumberFormat="1" applyFont="1" applyFill="1" applyBorder="1"/>
    <xf numFmtId="39" fontId="1" fillId="0" borderId="11" xfId="0" applyNumberFormat="1" applyFont="1" applyBorder="1" applyAlignment="1">
      <alignment horizontal="center" vertical="center" wrapText="1" shrinkToFit="1"/>
    </xf>
    <xf numFmtId="39" fontId="2" fillId="0" borderId="12" xfId="0" applyNumberFormat="1" applyFont="1" applyBorder="1" applyAlignment="1">
      <alignment wrapText="1" shrinkToFit="1"/>
    </xf>
    <xf numFmtId="39" fontId="1" fillId="0" borderId="12" xfId="0" applyNumberFormat="1" applyFont="1" applyFill="1" applyBorder="1" applyAlignment="1">
      <alignment wrapText="1" shrinkToFit="1"/>
    </xf>
    <xf numFmtId="39" fontId="2" fillId="0" borderId="12" xfId="0" applyNumberFormat="1" applyFont="1" applyFill="1" applyBorder="1" applyAlignment="1">
      <alignment wrapText="1" shrinkToFit="1"/>
    </xf>
    <xf numFmtId="39" fontId="1" fillId="0" borderId="11" xfId="0" applyNumberFormat="1" applyFont="1" applyBorder="1" applyAlignment="1">
      <alignment wrapText="1"/>
    </xf>
    <xf numFmtId="39" fontId="1" fillId="2" borderId="13" xfId="0" applyNumberFormat="1" applyFont="1" applyFill="1" applyBorder="1" applyAlignment="1">
      <alignment wrapText="1"/>
    </xf>
    <xf numFmtId="39" fontId="2" fillId="2" borderId="15" xfId="0" applyNumberFormat="1" applyFont="1" applyFill="1" applyBorder="1" applyAlignment="1">
      <alignment wrapText="1"/>
    </xf>
    <xf numFmtId="0" fontId="2" fillId="2" borderId="2" xfId="0" applyFont="1" applyFill="1" applyBorder="1" applyAlignment="1">
      <alignment wrapText="1" shrinkToFit="1"/>
    </xf>
    <xf numFmtId="39" fontId="1" fillId="0" borderId="11" xfId="0" applyNumberFormat="1" applyFont="1" applyBorder="1" applyAlignment="1">
      <alignment vertical="center" wrapText="1"/>
    </xf>
    <xf numFmtId="39" fontId="1" fillId="2" borderId="13" xfId="0" applyNumberFormat="1" applyFont="1" applyFill="1" applyBorder="1" applyAlignment="1">
      <alignment wrapText="1" shrinkToFit="1"/>
    </xf>
    <xf numFmtId="39" fontId="1" fillId="0" borderId="12" xfId="0" applyNumberFormat="1" applyFont="1" applyBorder="1" applyAlignment="1">
      <alignment horizontal="center" vertical="center" wrapText="1" shrinkToFit="1"/>
    </xf>
    <xf numFmtId="0" fontId="1" fillId="2" borderId="2" xfId="0" applyFont="1" applyFill="1" applyBorder="1" applyAlignment="1">
      <alignment horizontal="center" wrapText="1" shrinkToFit="1"/>
    </xf>
    <xf numFmtId="0" fontId="1" fillId="0" borderId="11" xfId="0" applyFont="1" applyBorder="1" applyAlignment="1">
      <alignment horizontal="center" vertical="center" wrapText="1" shrinkToFit="1"/>
    </xf>
    <xf numFmtId="0" fontId="1" fillId="0" borderId="12" xfId="0" applyFont="1" applyBorder="1" applyAlignment="1">
      <alignment horizontal="center" vertical="center" wrapText="1" shrinkToFit="1"/>
    </xf>
    <xf numFmtId="39" fontId="2" fillId="2" borderId="15" xfId="0" applyNumberFormat="1" applyFont="1" applyFill="1" applyBorder="1" applyAlignment="1">
      <alignment horizontal="center" wrapText="1" shrinkToFit="1"/>
    </xf>
    <xf numFmtId="39" fontId="2" fillId="2" borderId="1" xfId="0" applyNumberFormat="1" applyFont="1" applyFill="1" applyBorder="1" applyAlignment="1">
      <alignment horizontal="right"/>
    </xf>
    <xf numFmtId="167" fontId="1" fillId="0" borderId="0" xfId="0" applyNumberFormat="1" applyFont="1" applyBorder="1" applyAlignment="1">
      <alignment wrapText="1" shrinkToFit="1"/>
    </xf>
    <xf numFmtId="169" fontId="1" fillId="0" borderId="0" xfId="0" applyNumberFormat="1" applyFont="1"/>
    <xf numFmtId="170" fontId="1" fillId="0" borderId="0" xfId="0" applyNumberFormat="1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167" fontId="9" fillId="0" borderId="0" xfId="0" applyNumberFormat="1" applyFont="1"/>
    <xf numFmtId="0" fontId="4" fillId="0" borderId="0" xfId="0" applyFont="1" applyAlignment="1"/>
    <xf numFmtId="0" fontId="1" fillId="0" borderId="1" xfId="0" applyFont="1" applyBorder="1" applyAlignment="1">
      <alignment wrapText="1"/>
    </xf>
    <xf numFmtId="39" fontId="1" fillId="0" borderId="11" xfId="0" applyNumberFormat="1" applyFont="1" applyFill="1" applyBorder="1" applyAlignment="1">
      <alignment wrapText="1" shrinkToFit="1"/>
    </xf>
    <xf numFmtId="0" fontId="2" fillId="0" borderId="1" xfId="0" applyFont="1" applyBorder="1" applyAlignment="1">
      <alignment wrapText="1"/>
    </xf>
    <xf numFmtId="39" fontId="2" fillId="0" borderId="1" xfId="0" applyNumberFormat="1" applyFont="1" applyBorder="1"/>
    <xf numFmtId="167" fontId="1" fillId="0" borderId="1" xfId="0" applyNumberFormat="1" applyFont="1" applyFill="1" applyBorder="1"/>
    <xf numFmtId="164" fontId="1" fillId="0" borderId="12" xfId="1" applyFont="1" applyFill="1" applyBorder="1"/>
    <xf numFmtId="4" fontId="1" fillId="0" borderId="1" xfId="0" applyNumberFormat="1" applyFont="1" applyBorder="1"/>
    <xf numFmtId="4" fontId="1" fillId="0" borderId="1" xfId="0" applyNumberFormat="1" applyFont="1" applyFill="1" applyBorder="1"/>
    <xf numFmtId="39" fontId="1" fillId="0" borderId="19" xfId="0" applyNumberFormat="1" applyFont="1" applyBorder="1" applyAlignment="1">
      <alignment wrapText="1" shrinkToFit="1"/>
    </xf>
    <xf numFmtId="39" fontId="1" fillId="0" borderId="6" xfId="0" applyNumberFormat="1" applyFont="1" applyBorder="1" applyAlignment="1">
      <alignment wrapText="1" shrinkToFit="1"/>
    </xf>
    <xf numFmtId="39" fontId="1" fillId="0" borderId="20" xfId="0" applyNumberFormat="1" applyFont="1" applyBorder="1" applyAlignment="1">
      <alignment wrapText="1" shrinkToFit="1"/>
    </xf>
    <xf numFmtId="39" fontId="2" fillId="0" borderId="1" xfId="0" applyNumberFormat="1" applyFont="1" applyBorder="1" applyAlignment="1">
      <alignment wrapText="1" shrinkToFit="1"/>
    </xf>
    <xf numFmtId="167" fontId="2" fillId="2" borderId="15" xfId="0" applyNumberFormat="1" applyFont="1" applyFill="1" applyBorder="1" applyAlignment="1">
      <alignment horizontal="center" wrapText="1" shrinkToFit="1"/>
    </xf>
    <xf numFmtId="39" fontId="9" fillId="0" borderId="0" xfId="0" applyNumberFormat="1" applyFont="1"/>
    <xf numFmtId="0" fontId="13" fillId="0" borderId="0" xfId="0" applyFont="1" applyAlignment="1"/>
    <xf numFmtId="164" fontId="9" fillId="0" borderId="0" xfId="1" applyFont="1"/>
    <xf numFmtId="171" fontId="9" fillId="0" borderId="0" xfId="0" applyNumberFormat="1" applyFont="1"/>
    <xf numFmtId="2" fontId="1" fillId="0" borderId="0" xfId="0" applyNumberFormat="1" applyFont="1"/>
    <xf numFmtId="4" fontId="2" fillId="0" borderId="0" xfId="0" applyNumberFormat="1" applyFont="1"/>
    <xf numFmtId="172" fontId="2" fillId="2" borderId="1" xfId="0" applyNumberFormat="1" applyFont="1" applyFill="1" applyBorder="1" applyAlignment="1">
      <alignment horizontal="center" wrapText="1" shrinkToFit="1"/>
    </xf>
    <xf numFmtId="1" fontId="2" fillId="2" borderId="1" xfId="0" applyNumberFormat="1" applyFont="1" applyFill="1" applyBorder="1" applyAlignment="1">
      <alignment horizontal="center" wrapText="1" shrinkToFit="1"/>
    </xf>
    <xf numFmtId="0" fontId="12" fillId="0" borderId="0" xfId="0" applyFont="1"/>
    <xf numFmtId="4" fontId="1" fillId="3" borderId="0" xfId="0" applyNumberFormat="1" applyFont="1" applyFill="1"/>
    <xf numFmtId="39" fontId="1" fillId="3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4" fontId="1" fillId="0" borderId="0" xfId="0" applyNumberFormat="1" applyFont="1" applyBorder="1" applyAlignment="1">
      <alignment wrapText="1" shrinkToFit="1"/>
    </xf>
    <xf numFmtId="0" fontId="6" fillId="3" borderId="0" xfId="0" applyFont="1" applyFill="1"/>
    <xf numFmtId="0" fontId="1" fillId="3" borderId="0" xfId="0" applyFont="1" applyFill="1"/>
    <xf numFmtId="4" fontId="1" fillId="0" borderId="0" xfId="0" applyNumberFormat="1" applyFont="1"/>
    <xf numFmtId="0" fontId="2" fillId="3" borderId="1" xfId="0" applyFont="1" applyFill="1" applyBorder="1" applyAlignment="1">
      <alignment horizontal="center"/>
    </xf>
    <xf numFmtId="4" fontId="9" fillId="0" borderId="0" xfId="0" applyNumberFormat="1" applyFont="1"/>
    <xf numFmtId="3" fontId="1" fillId="0" borderId="0" xfId="0" applyNumberFormat="1" applyFont="1"/>
    <xf numFmtId="0" fontId="14" fillId="0" borderId="1" xfId="0" applyFont="1" applyBorder="1" applyAlignment="1">
      <alignment horizontal="center"/>
    </xf>
    <xf numFmtId="0" fontId="15" fillId="0" borderId="1" xfId="0" applyFont="1" applyBorder="1" applyAlignment="1">
      <alignment horizontal="left" vertical="center" wrapText="1" indent="1"/>
    </xf>
    <xf numFmtId="0" fontId="14" fillId="0" borderId="0" xfId="0" applyFont="1"/>
    <xf numFmtId="3" fontId="14" fillId="0" borderId="0" xfId="0" applyNumberFormat="1" applyFont="1"/>
    <xf numFmtId="4" fontId="14" fillId="0" borderId="0" xfId="0" applyNumberFormat="1" applyFont="1"/>
    <xf numFmtId="167" fontId="2" fillId="0" borderId="0" xfId="0" applyNumberFormat="1" applyFont="1"/>
    <xf numFmtId="3" fontId="2" fillId="0" borderId="0" xfId="0" applyNumberFormat="1" applyFont="1"/>
    <xf numFmtId="172" fontId="1" fillId="0" borderId="1" xfId="0" applyNumberFormat="1" applyFont="1" applyBorder="1" applyAlignment="1">
      <alignment horizontal="center" vertical="center" wrapText="1" shrinkToFit="1"/>
    </xf>
    <xf numFmtId="1" fontId="1" fillId="0" borderId="1" xfId="0" applyNumberFormat="1" applyFont="1" applyBorder="1" applyAlignment="1">
      <alignment horizontal="center" vertical="center" wrapText="1" shrinkToFit="1"/>
    </xf>
    <xf numFmtId="2" fontId="1" fillId="0" borderId="1" xfId="0" applyNumberFormat="1" applyFont="1" applyBorder="1" applyAlignment="1">
      <alignment horizontal="center" vertical="center" wrapText="1" shrinkToFit="1"/>
    </xf>
    <xf numFmtId="2" fontId="2" fillId="2" borderId="1" xfId="0" applyNumberFormat="1" applyFont="1" applyFill="1" applyBorder="1" applyAlignment="1">
      <alignment horizontal="center" wrapText="1" shrinkToFit="1"/>
    </xf>
    <xf numFmtId="0" fontId="1" fillId="3" borderId="1" xfId="0" applyFont="1" applyFill="1" applyBorder="1" applyAlignment="1">
      <alignment horizontal="center" vertical="center"/>
    </xf>
    <xf numFmtId="4" fontId="1" fillId="0" borderId="0" xfId="0" applyNumberFormat="1" applyFont="1" applyFill="1"/>
    <xf numFmtId="39" fontId="1" fillId="0" borderId="11" xfId="0" applyNumberFormat="1" applyFont="1" applyFill="1" applyBorder="1" applyAlignment="1">
      <alignment horizontal="center" vertical="center" wrapText="1" shrinkToFit="1"/>
    </xf>
    <xf numFmtId="0" fontId="1" fillId="0" borderId="0" xfId="0" applyFont="1" applyAlignment="1">
      <alignment horizontal="center" wrapText="1"/>
    </xf>
    <xf numFmtId="0" fontId="2" fillId="3" borderId="6" xfId="0" applyFont="1" applyFill="1" applyBorder="1" applyAlignment="1">
      <alignment horizontal="center" vertical="center" wrapText="1" shrinkToFit="1"/>
    </xf>
    <xf numFmtId="0" fontId="2" fillId="3" borderId="5" xfId="0" applyFont="1" applyFill="1" applyBorder="1" applyAlignment="1">
      <alignment horizontal="center" vertical="center" wrapText="1" shrinkToFit="1"/>
    </xf>
    <xf numFmtId="0" fontId="2" fillId="3" borderId="6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wrapText="1" shrinkToFit="1"/>
    </xf>
    <xf numFmtId="39" fontId="1" fillId="0" borderId="11" xfId="0" applyNumberFormat="1" applyFont="1" applyFill="1" applyBorder="1" applyAlignment="1">
      <alignment vertical="center" wrapText="1"/>
    </xf>
    <xf numFmtId="39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Border="1" applyAlignment="1">
      <alignment wrapText="1" shrinkToFit="1"/>
    </xf>
    <xf numFmtId="171" fontId="1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/>
    </xf>
    <xf numFmtId="2" fontId="1" fillId="0" borderId="0" xfId="0" applyNumberFormat="1" applyFont="1" applyAlignment="1">
      <alignment horizontal="center"/>
    </xf>
    <xf numFmtId="0" fontId="6" fillId="0" borderId="0" xfId="0" applyFont="1" applyAlignment="1">
      <alignment horizontal="center" vertical="center"/>
    </xf>
    <xf numFmtId="39" fontId="1" fillId="0" borderId="1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right"/>
    </xf>
    <xf numFmtId="4" fontId="2" fillId="3" borderId="1" xfId="0" applyNumberFormat="1" applyFont="1" applyFill="1" applyBorder="1" applyAlignment="1">
      <alignment horizontal="right"/>
    </xf>
    <xf numFmtId="4" fontId="2" fillId="3" borderId="1" xfId="0" applyNumberFormat="1" applyFont="1" applyFill="1" applyBorder="1"/>
    <xf numFmtId="0" fontId="2" fillId="3" borderId="1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/>
    </xf>
    <xf numFmtId="39" fontId="1" fillId="3" borderId="1" xfId="0" applyNumberFormat="1" applyFont="1" applyFill="1" applyBorder="1"/>
    <xf numFmtId="2" fontId="15" fillId="3" borderId="1" xfId="0" applyNumberFormat="1" applyFont="1" applyFill="1" applyBorder="1" applyAlignment="1">
      <alignment horizontal="center" vertical="center"/>
    </xf>
    <xf numFmtId="39" fontId="14" fillId="3" borderId="1" xfId="0" applyNumberFormat="1" applyFont="1" applyFill="1" applyBorder="1"/>
    <xf numFmtId="4" fontId="10" fillId="3" borderId="4" xfId="0" applyNumberFormat="1" applyFont="1" applyFill="1" applyBorder="1" applyAlignment="1">
      <alignment horizontal="right"/>
    </xf>
    <xf numFmtId="0" fontId="6" fillId="3" borderId="0" xfId="0" applyFont="1" applyFill="1" applyAlignment="1">
      <alignment horizontal="right"/>
    </xf>
    <xf numFmtId="4" fontId="2" fillId="3" borderId="1" xfId="1" applyNumberFormat="1" applyFont="1" applyFill="1" applyBorder="1"/>
    <xf numFmtId="4" fontId="11" fillId="3" borderId="0" xfId="0" applyNumberFormat="1" applyFont="1" applyFill="1"/>
    <xf numFmtId="4" fontId="1" fillId="0" borderId="11" xfId="0" applyNumberFormat="1" applyFont="1" applyBorder="1"/>
    <xf numFmtId="4" fontId="2" fillId="0" borderId="12" xfId="0" applyNumberFormat="1" applyFont="1" applyBorder="1"/>
    <xf numFmtId="4" fontId="1" fillId="0" borderId="11" xfId="0" applyNumberFormat="1" applyFont="1" applyFill="1" applyBorder="1"/>
    <xf numFmtId="4" fontId="2" fillId="0" borderId="12" xfId="0" applyNumberFormat="1" applyFont="1" applyFill="1" applyBorder="1"/>
    <xf numFmtId="4" fontId="1" fillId="0" borderId="12" xfId="0" applyNumberFormat="1" applyFont="1" applyBorder="1"/>
    <xf numFmtId="4" fontId="1" fillId="0" borderId="12" xfId="0" applyNumberFormat="1" applyFont="1" applyFill="1" applyBorder="1"/>
    <xf numFmtId="4" fontId="1" fillId="0" borderId="12" xfId="1" applyNumberFormat="1" applyFont="1" applyFill="1" applyBorder="1"/>
    <xf numFmtId="4" fontId="2" fillId="3" borderId="12" xfId="0" applyNumberFormat="1" applyFont="1" applyFill="1" applyBorder="1"/>
    <xf numFmtId="0" fontId="1" fillId="0" borderId="5" xfId="0" applyFont="1" applyBorder="1" applyAlignment="1">
      <alignment horizontal="center" wrapText="1" shrinkToFit="1"/>
    </xf>
    <xf numFmtId="39" fontId="1" fillId="3" borderId="12" xfId="0" applyNumberFormat="1" applyFont="1" applyFill="1" applyBorder="1" applyAlignment="1">
      <alignment wrapText="1" shrinkToFit="1"/>
    </xf>
    <xf numFmtId="0" fontId="1" fillId="0" borderId="21" xfId="0" applyFont="1" applyBorder="1" applyAlignment="1">
      <alignment horizontal="center" wrapText="1" shrinkToFit="1"/>
    </xf>
    <xf numFmtId="0" fontId="1" fillId="0" borderId="22" xfId="0" applyFont="1" applyBorder="1" applyAlignment="1">
      <alignment horizontal="center" wrapText="1" shrinkToFit="1"/>
    </xf>
    <xf numFmtId="0" fontId="2" fillId="0" borderId="2" xfId="0" applyFont="1" applyBorder="1" applyAlignment="1">
      <alignment wrapText="1" shrinkToFit="1"/>
    </xf>
    <xf numFmtId="0" fontId="2" fillId="0" borderId="11" xfId="0" applyFont="1" applyBorder="1" applyAlignment="1">
      <alignment wrapText="1" shrinkToFit="1"/>
    </xf>
    <xf numFmtId="39" fontId="2" fillId="0" borderId="11" xfId="0" applyNumberFormat="1" applyFont="1" applyBorder="1" applyAlignment="1">
      <alignment wrapText="1" shrinkToFit="1"/>
    </xf>
    <xf numFmtId="39" fontId="2" fillId="3" borderId="12" xfId="0" applyNumberFormat="1" applyFont="1" applyFill="1" applyBorder="1" applyAlignment="1">
      <alignment wrapText="1" shrinkToFit="1"/>
    </xf>
    <xf numFmtId="49" fontId="16" fillId="3" borderId="1" xfId="0" applyNumberFormat="1" applyFont="1" applyFill="1" applyBorder="1" applyAlignment="1" applyProtection="1">
      <alignment vertical="center" wrapText="1"/>
      <protection locked="0" hidden="1"/>
    </xf>
    <xf numFmtId="0" fontId="1" fillId="3" borderId="2" xfId="0" applyFont="1" applyFill="1" applyBorder="1" applyAlignment="1">
      <alignment vertical="center" wrapText="1"/>
    </xf>
    <xf numFmtId="39" fontId="1" fillId="3" borderId="11" xfId="0" applyNumberFormat="1" applyFont="1" applyFill="1" applyBorder="1" applyAlignment="1">
      <alignment horizontal="center" vertical="center" wrapText="1" shrinkToFit="1"/>
    </xf>
    <xf numFmtId="39" fontId="1" fillId="3" borderId="11" xfId="0" applyNumberFormat="1" applyFont="1" applyFill="1" applyBorder="1" applyAlignment="1">
      <alignment wrapText="1" shrinkToFit="1"/>
    </xf>
    <xf numFmtId="39" fontId="1" fillId="3" borderId="11" xfId="0" applyNumberFormat="1" applyFont="1" applyFill="1" applyBorder="1" applyAlignment="1">
      <alignment wrapText="1"/>
    </xf>
    <xf numFmtId="39" fontId="1" fillId="3" borderId="12" xfId="0" applyNumberFormat="1" applyFont="1" applyFill="1" applyBorder="1" applyAlignment="1">
      <alignment wrapText="1"/>
    </xf>
    <xf numFmtId="0" fontId="13" fillId="0" borderId="0" xfId="0" applyFont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 shrinkToFit="1"/>
    </xf>
    <xf numFmtId="0" fontId="2" fillId="3" borderId="1" xfId="0" applyFont="1" applyFill="1" applyBorder="1" applyAlignment="1">
      <alignment horizontal="center" vertical="center" wrapText="1" shrinkToFi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1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 wrapText="1" shrinkToFit="1"/>
    </xf>
    <xf numFmtId="0" fontId="1" fillId="0" borderId="7" xfId="0" applyFont="1" applyBorder="1" applyAlignment="1">
      <alignment horizontal="center" wrapText="1" shrinkToFit="1"/>
    </xf>
    <xf numFmtId="0" fontId="1" fillId="0" borderId="5" xfId="0" applyFont="1" applyBorder="1" applyAlignment="1">
      <alignment horizontal="center" wrapText="1" shrinkToFit="1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2" fillId="0" borderId="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3">
    <cellStyle name="Обычный" xfId="0" builtinId="0"/>
    <cellStyle name="Финансовый" xfId="1" builtinId="3"/>
    <cellStyle name="Финансовый [0]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28"/>
  <sheetViews>
    <sheetView view="pageBreakPreview" zoomScale="60" zoomScaleNormal="100" workbookViewId="0">
      <selection activeCell="G35" sqref="G35"/>
    </sheetView>
  </sheetViews>
  <sheetFormatPr defaultRowHeight="12.75" x14ac:dyDescent="0.2"/>
  <cols>
    <col min="1" max="1" width="5.5703125" style="1" customWidth="1"/>
    <col min="2" max="2" width="32.7109375" style="1" customWidth="1"/>
    <col min="3" max="3" width="11.140625" style="1" customWidth="1"/>
    <col min="4" max="5" width="12.85546875" style="1" customWidth="1"/>
    <col min="6" max="6" width="11" style="1" customWidth="1"/>
    <col min="7" max="7" width="13" style="1" customWidth="1"/>
    <col min="8" max="8" width="11.28515625" style="1" customWidth="1"/>
    <col min="9" max="9" width="11.7109375" style="1" customWidth="1"/>
    <col min="10" max="10" width="17.140625" style="1" customWidth="1"/>
    <col min="11" max="11" width="15" style="1" customWidth="1"/>
    <col min="12" max="12" width="14.85546875" style="1" customWidth="1"/>
    <col min="13" max="13" width="0.28515625" style="96" customWidth="1"/>
    <col min="14" max="14" width="10.28515625" style="1" hidden="1" customWidth="1"/>
    <col min="15" max="15" width="9.140625" style="1" hidden="1" customWidth="1"/>
    <col min="16" max="16" width="10.42578125" style="1" hidden="1" customWidth="1"/>
    <col min="17" max="17" width="11" style="1" hidden="1" customWidth="1"/>
    <col min="18" max="18" width="9.42578125" style="1" bestFit="1" customWidth="1"/>
    <col min="19" max="16384" width="9.140625" style="1"/>
  </cols>
  <sheetData>
    <row r="2" spans="1:18" ht="48.75" customHeight="1" x14ac:dyDescent="0.2">
      <c r="A2" s="198" t="s">
        <v>163</v>
      </c>
      <c r="B2" s="198"/>
      <c r="C2" s="198"/>
      <c r="D2" s="198"/>
      <c r="E2" s="198"/>
      <c r="F2" s="198"/>
      <c r="G2" s="198"/>
      <c r="H2" s="198"/>
      <c r="I2" s="198"/>
      <c r="J2" s="198"/>
    </row>
    <row r="4" spans="1:18" x14ac:dyDescent="0.2">
      <c r="A4" s="1" t="s">
        <v>0</v>
      </c>
    </row>
    <row r="6" spans="1:18" x14ac:dyDescent="0.2">
      <c r="A6" s="1" t="s">
        <v>16</v>
      </c>
    </row>
    <row r="8" spans="1:18" x14ac:dyDescent="0.2">
      <c r="A8" s="1" t="s">
        <v>154</v>
      </c>
    </row>
    <row r="9" spans="1:18" x14ac:dyDescent="0.2">
      <c r="J9" s="1" t="s">
        <v>239</v>
      </c>
      <c r="L9" s="156">
        <v>2023</v>
      </c>
    </row>
    <row r="10" spans="1:18" s="18" customFormat="1" ht="13.5" x14ac:dyDescent="0.25">
      <c r="A10" s="18" t="s">
        <v>1</v>
      </c>
      <c r="J10" s="24" t="s">
        <v>158</v>
      </c>
      <c r="M10" s="97"/>
    </row>
    <row r="11" spans="1:18" s="18" customFormat="1" ht="13.5" x14ac:dyDescent="0.25">
      <c r="C11" s="127"/>
      <c r="D11" s="127"/>
      <c r="E11" s="127"/>
      <c r="F11" s="127"/>
      <c r="G11" s="127"/>
      <c r="H11" s="127"/>
      <c r="I11" s="164" t="s">
        <v>218</v>
      </c>
      <c r="J11" s="165">
        <v>9475000</v>
      </c>
      <c r="K11" s="127"/>
      <c r="L11" s="165">
        <v>8843000</v>
      </c>
      <c r="M11" s="97"/>
    </row>
    <row r="12" spans="1:18" x14ac:dyDescent="0.2">
      <c r="C12" s="128"/>
      <c r="D12" s="128"/>
      <c r="E12" s="128"/>
      <c r="F12" s="128"/>
      <c r="G12" s="128"/>
      <c r="H12" s="128"/>
      <c r="I12" s="164" t="s">
        <v>219</v>
      </c>
      <c r="J12" s="166">
        <v>7002000</v>
      </c>
      <c r="K12" s="128"/>
      <c r="L12" s="166">
        <v>5949000</v>
      </c>
    </row>
    <row r="13" spans="1:18" ht="18.75" customHeight="1" x14ac:dyDescent="0.2">
      <c r="A13" s="200" t="s">
        <v>2</v>
      </c>
      <c r="B13" s="201" t="s">
        <v>3</v>
      </c>
      <c r="C13" s="202" t="s">
        <v>156</v>
      </c>
      <c r="D13" s="203" t="s">
        <v>238</v>
      </c>
      <c r="E13" s="204"/>
      <c r="F13" s="204"/>
      <c r="G13" s="204"/>
      <c r="H13" s="204"/>
      <c r="I13" s="205"/>
      <c r="J13" s="199" t="s">
        <v>176</v>
      </c>
      <c r="K13" s="199" t="s">
        <v>214</v>
      </c>
      <c r="L13" s="199" t="s">
        <v>237</v>
      </c>
    </row>
    <row r="14" spans="1:18" ht="75" customHeight="1" x14ac:dyDescent="0.2">
      <c r="A14" s="200"/>
      <c r="B14" s="201"/>
      <c r="C14" s="202"/>
      <c r="D14" s="167" t="s">
        <v>148</v>
      </c>
      <c r="E14" s="149" t="s">
        <v>6</v>
      </c>
      <c r="F14" s="149" t="s">
        <v>7</v>
      </c>
      <c r="G14" s="149" t="s">
        <v>8</v>
      </c>
      <c r="H14" s="148" t="s">
        <v>10</v>
      </c>
      <c r="I14" s="150" t="s">
        <v>11</v>
      </c>
      <c r="J14" s="199"/>
      <c r="K14" s="199"/>
      <c r="L14" s="199"/>
      <c r="O14" s="206"/>
      <c r="P14" s="207"/>
      <c r="Q14" s="207"/>
      <c r="R14" s="129"/>
    </row>
    <row r="15" spans="1:18" x14ac:dyDescent="0.2">
      <c r="A15" s="15">
        <v>1</v>
      </c>
      <c r="B15" s="15">
        <v>2</v>
      </c>
      <c r="C15" s="130">
        <v>3</v>
      </c>
      <c r="D15" s="130">
        <v>4</v>
      </c>
      <c r="E15" s="130">
        <v>5</v>
      </c>
      <c r="F15" s="130">
        <v>6</v>
      </c>
      <c r="G15" s="130">
        <v>7</v>
      </c>
      <c r="H15" s="130">
        <v>8</v>
      </c>
      <c r="I15" s="130">
        <v>9</v>
      </c>
      <c r="J15" s="130">
        <v>10</v>
      </c>
      <c r="K15" s="130">
        <v>11</v>
      </c>
      <c r="L15" s="130">
        <v>12</v>
      </c>
      <c r="N15" s="25"/>
      <c r="O15" s="206"/>
      <c r="P15" s="207"/>
      <c r="Q15" s="207"/>
      <c r="R15" s="129"/>
    </row>
    <row r="16" spans="1:18" x14ac:dyDescent="0.2">
      <c r="A16" s="4">
        <v>1</v>
      </c>
      <c r="B16" s="16" t="s">
        <v>149</v>
      </c>
      <c r="C16" s="168">
        <v>3</v>
      </c>
      <c r="D16" s="169">
        <v>141521.01694080001</v>
      </c>
      <c r="E16" s="169">
        <v>61326.96</v>
      </c>
      <c r="F16" s="169">
        <v>613.26959999999997</v>
      </c>
      <c r="G16" s="169">
        <v>42416.663340799998</v>
      </c>
      <c r="H16" s="169"/>
      <c r="I16" s="169">
        <v>37164.124000000003</v>
      </c>
      <c r="J16" s="169">
        <v>1415210.1694080001</v>
      </c>
      <c r="K16" s="169">
        <v>1415210.1694080001</v>
      </c>
      <c r="L16" s="169">
        <v>1202928.6439968001</v>
      </c>
      <c r="N16" s="36"/>
      <c r="O16" s="132"/>
      <c r="P16" s="129"/>
      <c r="Q16" s="129"/>
      <c r="R16" s="129"/>
    </row>
    <row r="17" spans="1:18" s="135" customFormat="1" x14ac:dyDescent="0.2">
      <c r="A17" s="133">
        <v>2</v>
      </c>
      <c r="B17" s="134" t="s">
        <v>150</v>
      </c>
      <c r="C17" s="170">
        <v>33.299999999999997</v>
      </c>
      <c r="D17" s="169">
        <v>789583.33333333326</v>
      </c>
      <c r="E17" s="171">
        <v>71400</v>
      </c>
      <c r="F17" s="171">
        <v>13607</v>
      </c>
      <c r="G17" s="171">
        <v>537646.1333333333</v>
      </c>
      <c r="H17" s="171"/>
      <c r="I17" s="171">
        <v>166930.20000000001</v>
      </c>
      <c r="J17" s="171">
        <v>9475000</v>
      </c>
      <c r="K17" s="169">
        <v>9475000</v>
      </c>
      <c r="L17" s="171">
        <v>8843000</v>
      </c>
      <c r="O17" s="136"/>
      <c r="P17" s="137"/>
      <c r="Q17" s="137"/>
      <c r="R17" s="137"/>
    </row>
    <row r="18" spans="1:18" x14ac:dyDescent="0.2">
      <c r="A18" s="4">
        <v>3</v>
      </c>
      <c r="B18" s="16" t="s">
        <v>151</v>
      </c>
      <c r="C18" s="168">
        <v>2.5</v>
      </c>
      <c r="D18" s="169">
        <v>51168</v>
      </c>
      <c r="E18" s="169">
        <v>23190</v>
      </c>
      <c r="F18" s="169">
        <v>0</v>
      </c>
      <c r="G18" s="169">
        <v>16473</v>
      </c>
      <c r="H18" s="169"/>
      <c r="I18" s="169">
        <v>11505</v>
      </c>
      <c r="J18" s="169">
        <v>469989.83</v>
      </c>
      <c r="K18" s="169">
        <v>469989.83</v>
      </c>
      <c r="L18" s="169">
        <v>396791.35550000001</v>
      </c>
      <c r="N18" s="36"/>
      <c r="O18" s="132"/>
      <c r="P18" s="129"/>
      <c r="Q18" s="129"/>
      <c r="R18" s="129"/>
    </row>
    <row r="19" spans="1:18" x14ac:dyDescent="0.2">
      <c r="A19" s="4">
        <v>4</v>
      </c>
      <c r="B19" s="16" t="s">
        <v>152</v>
      </c>
      <c r="C19" s="168">
        <v>25</v>
      </c>
      <c r="D19" s="169">
        <v>511680</v>
      </c>
      <c r="E19" s="169">
        <v>58080</v>
      </c>
      <c r="F19" s="169">
        <v>12786.870458404075</v>
      </c>
      <c r="G19" s="169">
        <v>323761.00726655347</v>
      </c>
      <c r="H19" s="169"/>
      <c r="I19" s="169">
        <v>117052.12227504243</v>
      </c>
      <c r="J19" s="169">
        <v>5116800</v>
      </c>
      <c r="K19" s="169">
        <v>5116800</v>
      </c>
      <c r="L19" s="169">
        <v>4349280</v>
      </c>
      <c r="N19" s="36"/>
      <c r="O19" s="132"/>
      <c r="P19" s="129"/>
      <c r="Q19" s="129"/>
      <c r="R19" s="129"/>
    </row>
    <row r="20" spans="1:18" s="6" customFormat="1" ht="27" customHeight="1" x14ac:dyDescent="0.2">
      <c r="A20" s="155"/>
      <c r="B20" s="155" t="s">
        <v>5</v>
      </c>
      <c r="C20" s="154">
        <f t="shared" ref="C20:L20" si="0">SUM(C16:C19)</f>
        <v>63.8</v>
      </c>
      <c r="D20" s="153">
        <f t="shared" si="0"/>
        <v>1493952.3502741333</v>
      </c>
      <c r="E20" s="153">
        <f t="shared" si="0"/>
        <v>213996.96</v>
      </c>
      <c r="F20" s="153">
        <f t="shared" si="0"/>
        <v>27007.140058404075</v>
      </c>
      <c r="G20" s="153">
        <f t="shared" si="0"/>
        <v>920296.80394068675</v>
      </c>
      <c r="H20" s="153">
        <f t="shared" si="0"/>
        <v>0</v>
      </c>
      <c r="I20" s="153">
        <f t="shared" si="0"/>
        <v>332651.44627504249</v>
      </c>
      <c r="J20" s="153">
        <f t="shared" si="0"/>
        <v>16476999.999408001</v>
      </c>
      <c r="K20" s="153">
        <f t="shared" si="0"/>
        <v>16476999.999408001</v>
      </c>
      <c r="L20" s="153">
        <f t="shared" si="0"/>
        <v>14791999.999496799</v>
      </c>
      <c r="M20" s="98"/>
      <c r="N20" s="138"/>
      <c r="O20" s="139"/>
      <c r="P20" s="119"/>
      <c r="Q20" s="119"/>
      <c r="R20" s="119"/>
    </row>
    <row r="21" spans="1:18" s="96" customFormat="1" x14ac:dyDescent="0.2">
      <c r="J21" s="99"/>
      <c r="R21" s="131"/>
    </row>
    <row r="22" spans="1:18" x14ac:dyDescent="0.2">
      <c r="J22" s="129"/>
    </row>
    <row r="23" spans="1:18" x14ac:dyDescent="0.2">
      <c r="J23" s="129"/>
    </row>
    <row r="24" spans="1:18" x14ac:dyDescent="0.2">
      <c r="J24" s="129"/>
    </row>
    <row r="26" spans="1:18" x14ac:dyDescent="0.2">
      <c r="J26" s="129"/>
      <c r="M26" s="99"/>
    </row>
    <row r="27" spans="1:18" x14ac:dyDescent="0.2">
      <c r="J27" s="129"/>
      <c r="M27" s="131"/>
    </row>
    <row r="28" spans="1:18" x14ac:dyDescent="0.2">
      <c r="J28" s="129"/>
    </row>
  </sheetData>
  <mergeCells count="11">
    <mergeCell ref="O14:O15"/>
    <mergeCell ref="P14:P15"/>
    <mergeCell ref="Q14:Q15"/>
    <mergeCell ref="K13:K14"/>
    <mergeCell ref="L13:L14"/>
    <mergeCell ref="A2:J2"/>
    <mergeCell ref="J13:J14"/>
    <mergeCell ref="A13:A14"/>
    <mergeCell ref="B13:B14"/>
    <mergeCell ref="C13:C14"/>
    <mergeCell ref="D13:I13"/>
  </mergeCells>
  <pageMargins left="0.31496062992125984" right="0.31496062992125984" top="0.35433070866141736" bottom="0.35433070866141736" header="0.31496062992125984" footer="0.31496062992125984"/>
  <pageSetup paperSize="9" scale="82" orientation="landscape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16"/>
  <sheetViews>
    <sheetView workbookViewId="0">
      <selection activeCell="K10" sqref="K10"/>
    </sheetView>
  </sheetViews>
  <sheetFormatPr defaultRowHeight="12.75" x14ac:dyDescent="0.2"/>
  <cols>
    <col min="1" max="1" width="4.85546875" style="1" customWidth="1"/>
    <col min="2" max="2" width="25.42578125" style="1" customWidth="1"/>
    <col min="3" max="3" width="11.5703125" style="1" customWidth="1"/>
    <col min="4" max="4" width="9.7109375" style="1" customWidth="1"/>
    <col min="5" max="5" width="6.5703125" style="1" customWidth="1"/>
    <col min="6" max="6" width="13.140625" style="1" customWidth="1"/>
    <col min="7" max="10" width="9.140625" style="1" hidden="1" customWidth="1"/>
    <col min="11" max="11" width="10.140625" style="1" customWidth="1"/>
    <col min="12" max="13" width="9.140625" style="1"/>
    <col min="14" max="14" width="12.5703125" style="1" customWidth="1"/>
    <col min="15" max="15" width="10.5703125" style="1" customWidth="1"/>
    <col min="16" max="17" width="9.140625" style="1"/>
    <col min="18" max="18" width="14" style="1" customWidth="1"/>
    <col min="19" max="19" width="6" style="1" customWidth="1"/>
    <col min="20" max="16384" width="9.140625" style="1"/>
  </cols>
  <sheetData>
    <row r="1" spans="1:18" ht="48.75" customHeight="1" x14ac:dyDescent="0.3">
      <c r="A1" s="208" t="s">
        <v>163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</row>
    <row r="2" spans="1:18" x14ac:dyDescent="0.2">
      <c r="A2" s="1" t="s">
        <v>65</v>
      </c>
    </row>
    <row r="4" spans="1:18" x14ac:dyDescent="0.2">
      <c r="A4" s="1" t="s">
        <v>66</v>
      </c>
    </row>
    <row r="6" spans="1:18" x14ac:dyDescent="0.2">
      <c r="A6" s="1" t="s">
        <v>155</v>
      </c>
    </row>
    <row r="8" spans="1:18" ht="11.25" customHeight="1" thickBot="1" x14ac:dyDescent="0.25"/>
    <row r="9" spans="1:18" ht="14.25" x14ac:dyDescent="0.2">
      <c r="C9" s="224" t="s">
        <v>235</v>
      </c>
      <c r="D9" s="225"/>
      <c r="E9" s="225"/>
      <c r="F9" s="226"/>
      <c r="G9" s="224" t="s">
        <v>180</v>
      </c>
      <c r="H9" s="225"/>
      <c r="I9" s="225"/>
      <c r="J9" s="226"/>
      <c r="K9" s="224" t="s">
        <v>250</v>
      </c>
      <c r="L9" s="225"/>
      <c r="M9" s="225"/>
      <c r="N9" s="226"/>
      <c r="O9" s="224" t="s">
        <v>250</v>
      </c>
      <c r="P9" s="225"/>
      <c r="Q9" s="225"/>
      <c r="R9" s="226"/>
    </row>
    <row r="10" spans="1:18" ht="51" x14ac:dyDescent="0.2">
      <c r="A10" s="5" t="s">
        <v>2</v>
      </c>
      <c r="B10" s="5" t="s">
        <v>13</v>
      </c>
      <c r="C10" s="5" t="s">
        <v>181</v>
      </c>
      <c r="D10" s="5" t="s">
        <v>80</v>
      </c>
      <c r="E10" s="5" t="s">
        <v>81</v>
      </c>
      <c r="F10" s="5" t="s">
        <v>182</v>
      </c>
      <c r="K10" s="5" t="s">
        <v>181</v>
      </c>
      <c r="L10" s="8" t="s">
        <v>80</v>
      </c>
      <c r="M10" s="8" t="s">
        <v>81</v>
      </c>
      <c r="N10" s="90" t="s">
        <v>182</v>
      </c>
      <c r="O10" s="5" t="s">
        <v>181</v>
      </c>
      <c r="P10" s="8" t="s">
        <v>80</v>
      </c>
      <c r="Q10" s="8" t="s">
        <v>81</v>
      </c>
      <c r="R10" s="90" t="s">
        <v>182</v>
      </c>
    </row>
    <row r="11" spans="1:18" x14ac:dyDescent="0.2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K11" s="42">
        <v>7</v>
      </c>
      <c r="L11" s="5">
        <v>8</v>
      </c>
      <c r="M11" s="5">
        <v>9</v>
      </c>
      <c r="N11" s="43">
        <v>10</v>
      </c>
      <c r="O11" s="42">
        <v>11</v>
      </c>
      <c r="P11" s="5">
        <v>12</v>
      </c>
      <c r="Q11" s="5">
        <v>13</v>
      </c>
      <c r="R11" s="43">
        <v>14</v>
      </c>
    </row>
    <row r="12" spans="1:18" ht="38.25" x14ac:dyDescent="0.2">
      <c r="A12" s="2"/>
      <c r="B12" s="103" t="s">
        <v>183</v>
      </c>
      <c r="C12" s="20">
        <v>147.19999999999999</v>
      </c>
      <c r="D12" s="20">
        <f>F12/C12</f>
        <v>543.47826086956525</v>
      </c>
      <c r="E12" s="20"/>
      <c r="F12" s="104">
        <v>80000</v>
      </c>
      <c r="K12" s="72">
        <f>C12</f>
        <v>147.19999999999999</v>
      </c>
      <c r="L12" s="105">
        <f>N12/K12</f>
        <v>557.06521739130437</v>
      </c>
      <c r="M12" s="38"/>
      <c r="N12" s="74">
        <v>82000</v>
      </c>
      <c r="O12" s="72">
        <f>C12</f>
        <v>147.19999999999999</v>
      </c>
      <c r="P12" s="105">
        <f>R12/O12</f>
        <v>577.44565217391312</v>
      </c>
      <c r="Q12" s="38"/>
      <c r="R12" s="74">
        <v>85000</v>
      </c>
    </row>
    <row r="13" spans="1:18" x14ac:dyDescent="0.2">
      <c r="A13" s="2"/>
      <c r="B13" s="2" t="s">
        <v>83</v>
      </c>
      <c r="C13" s="20"/>
      <c r="D13" s="20"/>
      <c r="E13" s="20"/>
      <c r="F13" s="20"/>
      <c r="K13" s="72"/>
      <c r="L13" s="38"/>
      <c r="M13" s="38"/>
      <c r="N13" s="73"/>
      <c r="O13" s="72"/>
      <c r="P13" s="38"/>
      <c r="Q13" s="38"/>
      <c r="R13" s="73"/>
    </row>
    <row r="14" spans="1:18" x14ac:dyDescent="0.2">
      <c r="A14" s="2"/>
      <c r="B14" s="2"/>
      <c r="C14" s="20"/>
      <c r="D14" s="20"/>
      <c r="E14" s="20"/>
      <c r="F14" s="20"/>
      <c r="K14" s="72"/>
      <c r="L14" s="38"/>
      <c r="M14" s="38"/>
      <c r="N14" s="73"/>
      <c r="O14" s="72"/>
      <c r="P14" s="38"/>
      <c r="Q14" s="38"/>
      <c r="R14" s="73"/>
    </row>
    <row r="15" spans="1:18" x14ac:dyDescent="0.2">
      <c r="A15" s="2"/>
      <c r="B15" s="2"/>
      <c r="C15" s="20"/>
      <c r="D15" s="20"/>
      <c r="E15" s="20"/>
      <c r="F15" s="20"/>
      <c r="K15" s="72"/>
      <c r="L15" s="38"/>
      <c r="M15" s="38"/>
      <c r="N15" s="106"/>
      <c r="O15" s="72"/>
      <c r="P15" s="38"/>
      <c r="Q15" s="38"/>
      <c r="R15" s="106"/>
    </row>
    <row r="16" spans="1:18" ht="13.5" thickBot="1" x14ac:dyDescent="0.25">
      <c r="A16" s="19"/>
      <c r="B16" s="30" t="s">
        <v>12</v>
      </c>
      <c r="C16" s="28" t="s">
        <v>22</v>
      </c>
      <c r="D16" s="28" t="s">
        <v>22</v>
      </c>
      <c r="E16" s="28" t="s">
        <v>22</v>
      </c>
      <c r="F16" s="32">
        <f>F12</f>
        <v>80000</v>
      </c>
      <c r="K16" s="75" t="s">
        <v>22</v>
      </c>
      <c r="L16" s="49" t="s">
        <v>22</v>
      </c>
      <c r="M16" s="49" t="s">
        <v>22</v>
      </c>
      <c r="N16" s="65">
        <f>N12</f>
        <v>82000</v>
      </c>
      <c r="O16" s="75" t="s">
        <v>22</v>
      </c>
      <c r="P16" s="49" t="s">
        <v>22</v>
      </c>
      <c r="Q16" s="49" t="s">
        <v>22</v>
      </c>
      <c r="R16" s="65">
        <f>R12</f>
        <v>85000</v>
      </c>
    </row>
  </sheetData>
  <mergeCells count="5">
    <mergeCell ref="A1:O1"/>
    <mergeCell ref="C9:F9"/>
    <mergeCell ref="G9:J9"/>
    <mergeCell ref="K9:N9"/>
    <mergeCell ref="O9:R9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360" verticalDpi="36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rgb="FFFFFF00"/>
  </sheetPr>
  <dimension ref="A1:L36"/>
  <sheetViews>
    <sheetView zoomScaleNormal="100" workbookViewId="0">
      <pane xSplit="1" ySplit="10" topLeftCell="B35" activePane="bottomRight" state="frozen"/>
      <selection pane="topRight" activeCell="B1" sqref="B1"/>
      <selection pane="bottomLeft" activeCell="A10" sqref="A10"/>
      <selection pane="bottomRight" activeCell="L33" sqref="L33"/>
    </sheetView>
  </sheetViews>
  <sheetFormatPr defaultRowHeight="12.75" x14ac:dyDescent="0.2"/>
  <cols>
    <col min="1" max="1" width="3.5703125" style="1" customWidth="1"/>
    <col min="2" max="2" width="37.5703125" style="1" customWidth="1"/>
    <col min="3" max="3" width="10.5703125" style="1" customWidth="1"/>
    <col min="4" max="4" width="14.7109375" style="1" customWidth="1"/>
    <col min="5" max="5" width="10.28515625" style="1" customWidth="1"/>
    <col min="6" max="6" width="12.5703125" style="1" customWidth="1"/>
    <col min="7" max="7" width="11" style="1" customWidth="1"/>
    <col min="8" max="8" width="11.5703125" style="1" customWidth="1"/>
    <col min="9" max="16384" width="9.140625" style="1"/>
  </cols>
  <sheetData>
    <row r="1" spans="1:10" ht="39.75" customHeight="1" x14ac:dyDescent="0.3">
      <c r="A1" s="208" t="s">
        <v>163</v>
      </c>
      <c r="B1" s="208"/>
      <c r="C1" s="208"/>
      <c r="D1" s="208"/>
      <c r="E1" s="208"/>
      <c r="F1" s="208"/>
      <c r="G1" s="208"/>
      <c r="H1" s="208"/>
      <c r="I1" s="39"/>
      <c r="J1" s="39"/>
    </row>
    <row r="2" spans="1:10" ht="23.25" customHeight="1" x14ac:dyDescent="0.2">
      <c r="A2" s="1" t="s">
        <v>65</v>
      </c>
    </row>
    <row r="4" spans="1:10" ht="28.5" customHeight="1" x14ac:dyDescent="0.2">
      <c r="A4" s="227" t="s">
        <v>66</v>
      </c>
      <c r="B4" s="227"/>
      <c r="C4" s="227"/>
      <c r="D4" s="227"/>
    </row>
    <row r="6" spans="1:10" x14ac:dyDescent="0.2">
      <c r="A6" s="1" t="s">
        <v>155</v>
      </c>
    </row>
    <row r="7" spans="1:10" ht="13.5" thickBot="1" x14ac:dyDescent="0.25"/>
    <row r="8" spans="1:10" ht="15" customHeight="1" x14ac:dyDescent="0.2">
      <c r="C8" s="224" t="s">
        <v>235</v>
      </c>
      <c r="D8" s="226"/>
      <c r="E8" s="224" t="s">
        <v>250</v>
      </c>
      <c r="F8" s="226"/>
      <c r="G8" s="224" t="s">
        <v>257</v>
      </c>
      <c r="H8" s="226"/>
    </row>
    <row r="9" spans="1:10" ht="41.25" customHeight="1" x14ac:dyDescent="0.2">
      <c r="A9" s="5" t="s">
        <v>2</v>
      </c>
      <c r="B9" s="29" t="s">
        <v>13</v>
      </c>
      <c r="C9" s="42" t="s">
        <v>102</v>
      </c>
      <c r="D9" s="43" t="s">
        <v>88</v>
      </c>
      <c r="E9" s="42" t="s">
        <v>102</v>
      </c>
      <c r="F9" s="43" t="s">
        <v>88</v>
      </c>
      <c r="G9" s="42" t="s">
        <v>102</v>
      </c>
      <c r="H9" s="43" t="s">
        <v>88</v>
      </c>
    </row>
    <row r="10" spans="1:10" x14ac:dyDescent="0.2">
      <c r="A10" s="3">
        <v>1</v>
      </c>
      <c r="B10" s="40">
        <v>2</v>
      </c>
      <c r="C10" s="44">
        <v>3</v>
      </c>
      <c r="D10" s="45">
        <v>4</v>
      </c>
      <c r="E10" s="44">
        <v>3</v>
      </c>
      <c r="F10" s="45">
        <v>4</v>
      </c>
      <c r="G10" s="44">
        <v>3</v>
      </c>
      <c r="H10" s="45">
        <v>4</v>
      </c>
    </row>
    <row r="11" spans="1:10" ht="25.5" x14ac:dyDescent="0.2">
      <c r="A11" s="13"/>
      <c r="B11" s="14" t="s">
        <v>89</v>
      </c>
      <c r="C11" s="77" t="s">
        <v>22</v>
      </c>
      <c r="D11" s="191">
        <f>D12+D13+D14+D15+D16+D17+D18+D19+D20+D21+D22+D23+D24+D25</f>
        <v>212000</v>
      </c>
      <c r="E11" s="77" t="s">
        <v>22</v>
      </c>
      <c r="F11" s="78">
        <f>F12+F13+F14+F15+F16+F17+F18+F19+F20+F21+F22+F23+F24+F25</f>
        <v>212000</v>
      </c>
      <c r="G11" s="77" t="s">
        <v>22</v>
      </c>
      <c r="H11" s="78">
        <f>H12+H13+H14+H15+H16+H17+H18+H19+H20+H21+H22+H23+H24+H25</f>
        <v>211999.99600000001</v>
      </c>
    </row>
    <row r="12" spans="1:10" ht="50.25" customHeight="1" x14ac:dyDescent="0.2">
      <c r="A12" s="13" t="s">
        <v>23</v>
      </c>
      <c r="B12" s="14" t="s">
        <v>90</v>
      </c>
      <c r="C12" s="46">
        <v>12</v>
      </c>
      <c r="D12" s="185">
        <f>1000+11000</f>
        <v>12000</v>
      </c>
      <c r="E12" s="102">
        <v>12</v>
      </c>
      <c r="F12" s="79">
        <v>12000</v>
      </c>
      <c r="G12" s="102">
        <v>12</v>
      </c>
      <c r="H12" s="79">
        <v>12000</v>
      </c>
    </row>
    <row r="13" spans="1:10" x14ac:dyDescent="0.2">
      <c r="A13" s="13" t="s">
        <v>25</v>
      </c>
      <c r="B13" s="14" t="s">
        <v>92</v>
      </c>
      <c r="C13" s="46">
        <v>1</v>
      </c>
      <c r="D13" s="185">
        <f>43744-299.18</f>
        <v>43444.82</v>
      </c>
      <c r="E13" s="102">
        <v>1</v>
      </c>
      <c r="F13" s="79">
        <v>43445</v>
      </c>
      <c r="G13" s="102">
        <v>1</v>
      </c>
      <c r="H13" s="79">
        <f>43445-1963</f>
        <v>41482</v>
      </c>
    </row>
    <row r="14" spans="1:10" x14ac:dyDescent="0.2">
      <c r="A14" s="13" t="s">
        <v>125</v>
      </c>
      <c r="B14" s="14" t="s">
        <v>91</v>
      </c>
      <c r="C14" s="46">
        <v>1</v>
      </c>
      <c r="D14" s="185">
        <v>100000</v>
      </c>
      <c r="E14" s="46">
        <v>1</v>
      </c>
      <c r="F14" s="79">
        <f>70000+19695.59</f>
        <v>89695.59</v>
      </c>
      <c r="G14" s="46">
        <v>1</v>
      </c>
      <c r="H14" s="79">
        <f>70000+19695.59-0.5</f>
        <v>89695.09</v>
      </c>
    </row>
    <row r="15" spans="1:10" x14ac:dyDescent="0.2">
      <c r="A15" s="13" t="s">
        <v>126</v>
      </c>
      <c r="B15" s="14" t="s">
        <v>93</v>
      </c>
      <c r="C15" s="46">
        <v>1</v>
      </c>
      <c r="D15" s="185">
        <v>11534.6</v>
      </c>
      <c r="E15" s="46">
        <v>1</v>
      </c>
      <c r="F15" s="79">
        <v>11534.6</v>
      </c>
      <c r="G15" s="46">
        <v>1</v>
      </c>
      <c r="H15" s="79">
        <v>11534.6</v>
      </c>
    </row>
    <row r="16" spans="1:10" ht="25.5" x14ac:dyDescent="0.2">
      <c r="A16" s="13" t="s">
        <v>127</v>
      </c>
      <c r="B16" s="14" t="s">
        <v>99</v>
      </c>
      <c r="C16" s="46">
        <v>1</v>
      </c>
      <c r="D16" s="185">
        <v>8000</v>
      </c>
      <c r="E16" s="102">
        <v>4</v>
      </c>
      <c r="F16" s="79">
        <f>8000+10304.23</f>
        <v>18304.23</v>
      </c>
      <c r="G16" s="102">
        <v>4</v>
      </c>
      <c r="H16" s="79">
        <v>18304.23</v>
      </c>
    </row>
    <row r="17" spans="1:12" x14ac:dyDescent="0.2">
      <c r="A17" s="13" t="s">
        <v>128</v>
      </c>
      <c r="B17" s="14" t="s">
        <v>100</v>
      </c>
      <c r="C17" s="46">
        <v>12</v>
      </c>
      <c r="D17" s="185">
        <v>21420.58</v>
      </c>
      <c r="E17" s="46">
        <v>12</v>
      </c>
      <c r="F17" s="79">
        <v>21420.58</v>
      </c>
      <c r="G17" s="46">
        <v>12</v>
      </c>
      <c r="H17" s="79">
        <f>(1487.54+17999.19)*1.2</f>
        <v>23384.075999999997</v>
      </c>
    </row>
    <row r="18" spans="1:12" x14ac:dyDescent="0.2">
      <c r="A18" s="13" t="s">
        <v>129</v>
      </c>
      <c r="B18" s="14" t="s">
        <v>223</v>
      </c>
      <c r="C18" s="46"/>
      <c r="D18" s="185"/>
      <c r="E18" s="102"/>
      <c r="F18" s="79"/>
      <c r="G18" s="102"/>
      <c r="H18" s="79"/>
    </row>
    <row r="19" spans="1:12" x14ac:dyDescent="0.2">
      <c r="A19" s="13" t="s">
        <v>130</v>
      </c>
      <c r="B19" s="14" t="s">
        <v>122</v>
      </c>
      <c r="C19" s="46">
        <v>12</v>
      </c>
      <c r="D19" s="185">
        <v>15600</v>
      </c>
      <c r="E19" s="46">
        <v>12</v>
      </c>
      <c r="F19" s="79">
        <f>14300+1300</f>
        <v>15600</v>
      </c>
      <c r="G19" s="46">
        <v>12</v>
      </c>
      <c r="H19" s="79">
        <f>14300+1300</f>
        <v>15600</v>
      </c>
    </row>
    <row r="20" spans="1:12" x14ac:dyDescent="0.2">
      <c r="A20" s="13" t="s">
        <v>131</v>
      </c>
      <c r="B20" s="14" t="s">
        <v>123</v>
      </c>
      <c r="C20" s="46"/>
      <c r="D20" s="185"/>
      <c r="E20" s="102"/>
      <c r="F20" s="79"/>
      <c r="G20" s="102"/>
      <c r="H20" s="79"/>
    </row>
    <row r="21" spans="1:12" x14ac:dyDescent="0.2">
      <c r="A21" s="13" t="s">
        <v>132</v>
      </c>
      <c r="B21" s="14" t="s">
        <v>168</v>
      </c>
      <c r="C21" s="46"/>
      <c r="D21" s="79"/>
      <c r="E21" s="102"/>
      <c r="F21" s="79"/>
      <c r="G21" s="102"/>
      <c r="H21" s="79"/>
    </row>
    <row r="22" spans="1:12" x14ac:dyDescent="0.2">
      <c r="A22" s="13" t="s">
        <v>133</v>
      </c>
      <c r="B22" s="14" t="s">
        <v>124</v>
      </c>
      <c r="C22" s="46">
        <v>1</v>
      </c>
      <c r="D22" s="79">
        <v>0</v>
      </c>
      <c r="E22" s="102"/>
      <c r="F22" s="79"/>
      <c r="G22" s="102">
        <v>1</v>
      </c>
      <c r="H22" s="79">
        <v>0</v>
      </c>
    </row>
    <row r="23" spans="1:12" x14ac:dyDescent="0.2">
      <c r="A23" s="13" t="s">
        <v>134</v>
      </c>
      <c r="B23" s="14" t="s">
        <v>175</v>
      </c>
      <c r="C23" s="46"/>
      <c r="D23" s="79"/>
      <c r="E23" s="102"/>
      <c r="F23" s="79"/>
      <c r="G23" s="102"/>
      <c r="H23" s="79"/>
    </row>
    <row r="24" spans="1:12" x14ac:dyDescent="0.2">
      <c r="A24" s="13" t="s">
        <v>135</v>
      </c>
      <c r="B24" s="14" t="s">
        <v>94</v>
      </c>
      <c r="C24" s="102">
        <v>12</v>
      </c>
      <c r="D24" s="79">
        <v>0</v>
      </c>
      <c r="E24" s="102">
        <v>12</v>
      </c>
      <c r="F24" s="79">
        <v>0</v>
      </c>
      <c r="G24" s="102">
        <v>12</v>
      </c>
      <c r="H24" s="79">
        <v>0</v>
      </c>
    </row>
    <row r="25" spans="1:12" ht="15.75" customHeight="1" x14ac:dyDescent="0.2">
      <c r="A25" s="13" t="s">
        <v>136</v>
      </c>
      <c r="B25" s="14" t="s">
        <v>95</v>
      </c>
      <c r="C25" s="102">
        <v>12</v>
      </c>
      <c r="D25" s="79">
        <v>0</v>
      </c>
      <c r="E25" s="102">
        <v>12</v>
      </c>
      <c r="F25" s="79">
        <v>0</v>
      </c>
      <c r="G25" s="102">
        <v>12</v>
      </c>
      <c r="H25" s="79">
        <v>0</v>
      </c>
      <c r="I25" s="36"/>
      <c r="J25" s="36"/>
      <c r="K25" s="36"/>
    </row>
    <row r="26" spans="1:12" x14ac:dyDescent="0.2">
      <c r="A26" s="13"/>
      <c r="B26" s="14" t="s">
        <v>96</v>
      </c>
      <c r="C26" s="77" t="s">
        <v>22</v>
      </c>
      <c r="D26" s="79"/>
      <c r="E26" s="146" t="s">
        <v>22</v>
      </c>
      <c r="F26" s="79"/>
      <c r="G26" s="146" t="s">
        <v>22</v>
      </c>
      <c r="H26" s="79"/>
    </row>
    <row r="27" spans="1:12" ht="37.5" customHeight="1" x14ac:dyDescent="0.2">
      <c r="A27" s="13"/>
      <c r="B27" s="14" t="s">
        <v>101</v>
      </c>
      <c r="C27" s="77" t="s">
        <v>22</v>
      </c>
      <c r="D27" s="191">
        <f>D28+D29+D30</f>
        <v>21300</v>
      </c>
      <c r="E27" s="146" t="s">
        <v>22</v>
      </c>
      <c r="F27" s="80">
        <f>F28+F29+F30</f>
        <v>49990</v>
      </c>
      <c r="G27" s="146" t="s">
        <v>22</v>
      </c>
      <c r="H27" s="80">
        <f>H28+H29+H30</f>
        <v>49990</v>
      </c>
      <c r="I27" s="36"/>
    </row>
    <row r="28" spans="1:12" x14ac:dyDescent="0.2">
      <c r="A28" s="13"/>
      <c r="B28" s="14" t="s">
        <v>137</v>
      </c>
      <c r="C28" s="77">
        <v>1</v>
      </c>
      <c r="D28" s="79">
        <v>6300</v>
      </c>
      <c r="E28" s="77">
        <v>1</v>
      </c>
      <c r="F28" s="79">
        <v>10000</v>
      </c>
      <c r="G28" s="77">
        <v>1</v>
      </c>
      <c r="H28" s="79">
        <v>10000</v>
      </c>
    </row>
    <row r="29" spans="1:12" x14ac:dyDescent="0.2">
      <c r="A29" s="13"/>
      <c r="B29" s="14" t="s">
        <v>138</v>
      </c>
      <c r="C29" s="77">
        <v>1</v>
      </c>
      <c r="D29" s="79">
        <v>5000</v>
      </c>
      <c r="E29" s="77">
        <v>1</v>
      </c>
      <c r="F29" s="79">
        <v>19990</v>
      </c>
      <c r="G29" s="77">
        <v>1</v>
      </c>
      <c r="H29" s="79">
        <v>19990</v>
      </c>
      <c r="I29" s="36"/>
      <c r="L29" s="128"/>
    </row>
    <row r="30" spans="1:12" x14ac:dyDescent="0.2">
      <c r="A30" s="13"/>
      <c r="B30" s="14" t="s">
        <v>139</v>
      </c>
      <c r="C30" s="77">
        <v>1</v>
      </c>
      <c r="D30" s="79">
        <v>10000</v>
      </c>
      <c r="E30" s="77">
        <v>1</v>
      </c>
      <c r="F30" s="79">
        <v>20000</v>
      </c>
      <c r="G30" s="77">
        <v>1</v>
      </c>
      <c r="H30" s="79">
        <v>20000</v>
      </c>
      <c r="I30" s="36"/>
    </row>
    <row r="31" spans="1:12" ht="38.25" x14ac:dyDescent="0.2">
      <c r="A31" s="13"/>
      <c r="B31" s="193" t="s">
        <v>97</v>
      </c>
      <c r="C31" s="194" t="s">
        <v>22</v>
      </c>
      <c r="D31" s="191">
        <f>D32+D33</f>
        <v>127099.99999999999</v>
      </c>
      <c r="E31" s="194" t="s">
        <v>22</v>
      </c>
      <c r="F31" s="191">
        <f>F33+F32</f>
        <v>127099.99999999999</v>
      </c>
      <c r="G31" s="194" t="s">
        <v>22</v>
      </c>
      <c r="H31" s="191">
        <f>H32+H33</f>
        <v>127099.99999999999</v>
      </c>
      <c r="I31" s="36"/>
      <c r="J31" s="36"/>
    </row>
    <row r="32" spans="1:12" x14ac:dyDescent="0.2">
      <c r="A32" s="13"/>
      <c r="B32" s="193" t="s">
        <v>236</v>
      </c>
      <c r="C32" s="195">
        <v>1</v>
      </c>
      <c r="D32" s="185">
        <v>49986.92</v>
      </c>
      <c r="E32" s="195">
        <v>1</v>
      </c>
      <c r="F32" s="185">
        <v>49986.92</v>
      </c>
      <c r="G32" s="195">
        <v>1</v>
      </c>
      <c r="H32" s="185">
        <v>49986.92</v>
      </c>
      <c r="I32" s="36"/>
      <c r="J32" s="36"/>
      <c r="K32" s="36"/>
    </row>
    <row r="33" spans="1:9" ht="25.5" x14ac:dyDescent="0.2">
      <c r="A33" s="13"/>
      <c r="B33" s="193" t="s">
        <v>98</v>
      </c>
      <c r="C33" s="194" t="s">
        <v>22</v>
      </c>
      <c r="D33" s="191">
        <f>D34+D35</f>
        <v>77113.079999999987</v>
      </c>
      <c r="E33" s="194" t="s">
        <v>22</v>
      </c>
      <c r="F33" s="191">
        <f>F34+F35</f>
        <v>77113.079999999987</v>
      </c>
      <c r="G33" s="194" t="s">
        <v>22</v>
      </c>
      <c r="H33" s="191">
        <f>H34+H35</f>
        <v>77113.079999999987</v>
      </c>
      <c r="I33" s="36"/>
    </row>
    <row r="34" spans="1:9" ht="25.5" x14ac:dyDescent="0.2">
      <c r="A34" s="2"/>
      <c r="B34" s="193" t="s">
        <v>253</v>
      </c>
      <c r="C34" s="196"/>
      <c r="D34" s="197">
        <v>9561.18</v>
      </c>
      <c r="E34" s="196"/>
      <c r="F34" s="197">
        <v>9561.18</v>
      </c>
      <c r="G34" s="196"/>
      <c r="H34" s="197">
        <v>9561.18</v>
      </c>
      <c r="I34" s="36"/>
    </row>
    <row r="35" spans="1:9" ht="25.5" x14ac:dyDescent="0.2">
      <c r="A35" s="2"/>
      <c r="B35" s="193" t="s">
        <v>254</v>
      </c>
      <c r="C35" s="196"/>
      <c r="D35" s="197">
        <v>67551.899999999994</v>
      </c>
      <c r="E35" s="196"/>
      <c r="F35" s="197">
        <v>67551.899999999994</v>
      </c>
      <c r="G35" s="196"/>
      <c r="H35" s="197">
        <v>67551.899999999994</v>
      </c>
      <c r="I35" s="36"/>
    </row>
    <row r="36" spans="1:9" ht="13.5" thickBot="1" x14ac:dyDescent="0.25">
      <c r="A36" s="19"/>
      <c r="B36" s="60" t="s">
        <v>12</v>
      </c>
      <c r="C36" s="82"/>
      <c r="D36" s="83">
        <f>D11+D27+D31+D33</f>
        <v>437513.07999999996</v>
      </c>
      <c r="E36" s="82"/>
      <c r="F36" s="83">
        <f>F11+F27+F31+F33</f>
        <v>466203.07999999996</v>
      </c>
      <c r="G36" s="82"/>
      <c r="H36" s="83">
        <f>H11+H27+H31+H33</f>
        <v>466203.076</v>
      </c>
    </row>
  </sheetData>
  <mergeCells count="5">
    <mergeCell ref="A4:D4"/>
    <mergeCell ref="C8:D8"/>
    <mergeCell ref="E8:F8"/>
    <mergeCell ref="G8:H8"/>
    <mergeCell ref="A1:H1"/>
  </mergeCells>
  <pageMargins left="0.7" right="0.7" top="0.75" bottom="0.75" header="0.3" footer="0.3"/>
  <pageSetup paperSize="9" scale="78" orientation="portrait" horizontalDpi="360" verticalDpi="36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rgb="FFFFFF00"/>
  </sheetPr>
  <dimension ref="A1:L33"/>
  <sheetViews>
    <sheetView tabSelected="1" topLeftCell="A16" zoomScale="85" zoomScaleNormal="85" workbookViewId="0">
      <selection activeCell="K30" sqref="K30"/>
    </sheetView>
  </sheetViews>
  <sheetFormatPr defaultRowHeight="12.75" x14ac:dyDescent="0.2"/>
  <cols>
    <col min="1" max="1" width="4.5703125" style="1" customWidth="1"/>
    <col min="2" max="2" width="35.140625" style="1" customWidth="1"/>
    <col min="3" max="3" width="10.7109375" style="1" customWidth="1"/>
    <col min="4" max="4" width="12.42578125" style="1" customWidth="1"/>
    <col min="5" max="5" width="10.5703125" style="1" customWidth="1"/>
    <col min="6" max="6" width="12" style="1" customWidth="1"/>
    <col min="7" max="7" width="12.140625" style="1" customWidth="1"/>
    <col min="8" max="8" width="13" style="1" customWidth="1"/>
    <col min="9" max="9" width="9.140625" style="1"/>
    <col min="10" max="10" width="21.42578125" style="1" customWidth="1"/>
    <col min="11" max="11" width="12.28515625" style="1" bestFit="1" customWidth="1"/>
    <col min="12" max="12" width="10.7109375" style="1" bestFit="1" customWidth="1"/>
    <col min="13" max="16384" width="9.140625" style="1"/>
  </cols>
  <sheetData>
    <row r="1" spans="1:10" ht="38.25" customHeight="1" x14ac:dyDescent="0.3">
      <c r="A1" s="208" t="s">
        <v>163</v>
      </c>
      <c r="B1" s="208"/>
      <c r="C1" s="208"/>
      <c r="D1" s="208"/>
      <c r="E1" s="208"/>
      <c r="F1" s="208"/>
      <c r="G1" s="208"/>
      <c r="H1" s="208"/>
      <c r="I1" s="39"/>
      <c r="J1" s="39"/>
    </row>
    <row r="2" spans="1:10" x14ac:dyDescent="0.2">
      <c r="A2" s="1" t="s">
        <v>65</v>
      </c>
    </row>
    <row r="4" spans="1:10" ht="26.25" customHeight="1" x14ac:dyDescent="0.2">
      <c r="A4" s="207" t="s">
        <v>66</v>
      </c>
      <c r="B4" s="207"/>
      <c r="C4" s="207"/>
      <c r="D4" s="207"/>
    </row>
    <row r="6" spans="1:10" x14ac:dyDescent="0.2">
      <c r="A6" s="1" t="s">
        <v>155</v>
      </c>
    </row>
    <row r="7" spans="1:10" ht="13.5" thickBot="1" x14ac:dyDescent="0.25"/>
    <row r="8" spans="1:10" ht="15" customHeight="1" x14ac:dyDescent="0.2">
      <c r="C8" s="224" t="s">
        <v>235</v>
      </c>
      <c r="D8" s="226"/>
      <c r="E8" s="224" t="s">
        <v>250</v>
      </c>
      <c r="F8" s="226"/>
      <c r="G8" s="224" t="s">
        <v>257</v>
      </c>
      <c r="H8" s="226"/>
    </row>
    <row r="9" spans="1:10" ht="30" customHeight="1" x14ac:dyDescent="0.2">
      <c r="A9" s="5" t="s">
        <v>2</v>
      </c>
      <c r="B9" s="29" t="s">
        <v>13</v>
      </c>
      <c r="C9" s="42" t="s">
        <v>87</v>
      </c>
      <c r="D9" s="43" t="s">
        <v>88</v>
      </c>
      <c r="E9" s="42" t="s">
        <v>87</v>
      </c>
      <c r="F9" s="43" t="s">
        <v>88</v>
      </c>
      <c r="G9" s="42" t="s">
        <v>87</v>
      </c>
      <c r="H9" s="43" t="s">
        <v>88</v>
      </c>
    </row>
    <row r="10" spans="1:10" x14ac:dyDescent="0.2">
      <c r="A10" s="5">
        <v>1</v>
      </c>
      <c r="B10" s="29">
        <v>2</v>
      </c>
      <c r="C10" s="42">
        <v>3</v>
      </c>
      <c r="D10" s="43">
        <v>4</v>
      </c>
      <c r="E10" s="42">
        <v>3</v>
      </c>
      <c r="F10" s="43">
        <v>4</v>
      </c>
      <c r="G10" s="42">
        <v>3</v>
      </c>
      <c r="H10" s="43">
        <v>4</v>
      </c>
    </row>
    <row r="11" spans="1:10" ht="38.25" x14ac:dyDescent="0.2">
      <c r="A11" s="3"/>
      <c r="B11" s="14" t="s">
        <v>103</v>
      </c>
      <c r="C11" s="77" t="s">
        <v>22</v>
      </c>
      <c r="D11" s="47"/>
      <c r="E11" s="77" t="s">
        <v>22</v>
      </c>
      <c r="F11" s="47"/>
      <c r="G11" s="77" t="s">
        <v>22</v>
      </c>
      <c r="H11" s="47"/>
    </row>
    <row r="12" spans="1:10" x14ac:dyDescent="0.2">
      <c r="A12" s="3"/>
      <c r="B12" s="14" t="s">
        <v>83</v>
      </c>
      <c r="C12" s="85"/>
      <c r="D12" s="47"/>
      <c r="E12" s="85"/>
      <c r="F12" s="47"/>
      <c r="G12" s="85"/>
      <c r="H12" s="47"/>
    </row>
    <row r="13" spans="1:10" ht="25.5" x14ac:dyDescent="0.2">
      <c r="A13" s="3"/>
      <c r="B13" s="14" t="s">
        <v>104</v>
      </c>
      <c r="C13" s="77" t="s">
        <v>22</v>
      </c>
      <c r="D13" s="78">
        <f>D15+D17+D18+D19+D21</f>
        <v>1225600</v>
      </c>
      <c r="E13" s="77" t="s">
        <v>22</v>
      </c>
      <c r="F13" s="78">
        <f>F15+F16+F17+F18+F19+F21</f>
        <v>1058900</v>
      </c>
      <c r="G13" s="77" t="s">
        <v>22</v>
      </c>
      <c r="H13" s="78">
        <f>H15+H16+H17+H18+H19+H21</f>
        <v>692144.8</v>
      </c>
    </row>
    <row r="14" spans="1:10" x14ac:dyDescent="0.2">
      <c r="A14" s="3"/>
      <c r="B14" s="14" t="s">
        <v>110</v>
      </c>
      <c r="C14" s="85"/>
      <c r="D14" s="47"/>
      <c r="E14" s="85"/>
      <c r="F14" s="47"/>
      <c r="G14" s="85"/>
      <c r="H14" s="47"/>
    </row>
    <row r="15" spans="1:10" ht="27.75" customHeight="1" x14ac:dyDescent="0.2">
      <c r="A15" s="3"/>
      <c r="B15" s="14" t="s">
        <v>140</v>
      </c>
      <c r="C15" s="81">
        <v>1</v>
      </c>
      <c r="D15" s="185">
        <v>17300</v>
      </c>
      <c r="E15" s="81">
        <v>1</v>
      </c>
      <c r="F15" s="79">
        <v>17300</v>
      </c>
      <c r="G15" s="81">
        <v>1</v>
      </c>
      <c r="H15" s="79">
        <v>17344.8</v>
      </c>
    </row>
    <row r="16" spans="1:10" ht="16.5" customHeight="1" x14ac:dyDescent="0.2">
      <c r="A16" s="3"/>
      <c r="B16" s="14" t="s">
        <v>141</v>
      </c>
      <c r="C16" s="81"/>
      <c r="D16" s="185"/>
      <c r="E16" s="81"/>
      <c r="F16" s="79"/>
      <c r="G16" s="81"/>
      <c r="H16" s="79"/>
    </row>
    <row r="17" spans="1:12" ht="27.75" customHeight="1" x14ac:dyDescent="0.2">
      <c r="A17" s="3"/>
      <c r="B17" s="14" t="s">
        <v>142</v>
      </c>
      <c r="C17" s="81">
        <v>1</v>
      </c>
      <c r="D17" s="185">
        <v>62400</v>
      </c>
      <c r="E17" s="81">
        <v>1</v>
      </c>
      <c r="F17" s="185">
        <v>62400</v>
      </c>
      <c r="G17" s="81">
        <v>1</v>
      </c>
      <c r="H17" s="185">
        <v>62400</v>
      </c>
    </row>
    <row r="18" spans="1:12" ht="27.75" customHeight="1" x14ac:dyDescent="0.2">
      <c r="A18" s="3"/>
      <c r="B18" s="14" t="s">
        <v>174</v>
      </c>
      <c r="C18" s="81">
        <v>1</v>
      </c>
      <c r="D18" s="185">
        <v>0</v>
      </c>
      <c r="E18" s="81">
        <v>1</v>
      </c>
      <c r="F18" s="185">
        <v>0</v>
      </c>
      <c r="G18" s="81">
        <v>1</v>
      </c>
      <c r="H18" s="185">
        <v>0</v>
      </c>
      <c r="J18" s="36">
        <f>D15+D17+D19+D21+D23+D25+D26+D28+D30</f>
        <v>1408300</v>
      </c>
      <c r="K18" s="36">
        <f>F15+F17+F19+F21+F23+F25+F26+F28+F30</f>
        <v>1241600</v>
      </c>
      <c r="L18" s="36">
        <f>H15+H17+H19+H21+H23+H25+H26+H28+H30</f>
        <v>874800</v>
      </c>
    </row>
    <row r="19" spans="1:12" ht="27.75" customHeight="1" x14ac:dyDescent="0.2">
      <c r="A19" s="3"/>
      <c r="B19" s="14" t="s">
        <v>226</v>
      </c>
      <c r="C19" s="81">
        <v>1</v>
      </c>
      <c r="D19" s="185">
        <f>1625+17875</f>
        <v>19500</v>
      </c>
      <c r="E19" s="81">
        <v>1</v>
      </c>
      <c r="F19" s="185">
        <v>19500</v>
      </c>
      <c r="G19" s="81">
        <v>1</v>
      </c>
      <c r="H19" s="185">
        <v>19500</v>
      </c>
    </row>
    <row r="20" spans="1:12" ht="25.5" x14ac:dyDescent="0.2">
      <c r="A20" s="3"/>
      <c r="B20" s="14" t="s">
        <v>105</v>
      </c>
      <c r="C20" s="77" t="s">
        <v>22</v>
      </c>
      <c r="D20" s="185"/>
      <c r="E20" s="77" t="s">
        <v>22</v>
      </c>
      <c r="F20" s="79"/>
      <c r="G20" s="77" t="s">
        <v>22</v>
      </c>
      <c r="H20" s="79"/>
    </row>
    <row r="21" spans="1:12" x14ac:dyDescent="0.2">
      <c r="A21" s="3"/>
      <c r="B21" s="14" t="s">
        <v>251</v>
      </c>
      <c r="C21" s="85">
        <v>1</v>
      </c>
      <c r="D21" s="185">
        <v>1126400</v>
      </c>
      <c r="E21" s="85">
        <v>1</v>
      </c>
      <c r="F21" s="79">
        <f>1126400-166700</f>
        <v>959700</v>
      </c>
      <c r="G21" s="85">
        <v>1</v>
      </c>
      <c r="H21" s="79">
        <f>1126400-533500</f>
        <v>592900</v>
      </c>
    </row>
    <row r="22" spans="1:12" x14ac:dyDescent="0.2">
      <c r="A22" s="3"/>
      <c r="B22" s="14" t="s">
        <v>143</v>
      </c>
      <c r="C22" s="77" t="s">
        <v>22</v>
      </c>
      <c r="D22" s="191">
        <f>D23+D28+D32+D25+D30</f>
        <v>5064300</v>
      </c>
      <c r="E22" s="77" t="s">
        <v>22</v>
      </c>
      <c r="F22" s="80">
        <f>F23+F28+F32+F25</f>
        <v>5056500</v>
      </c>
      <c r="G22" s="77" t="s">
        <v>22</v>
      </c>
      <c r="H22" s="80">
        <f>H23+H28+H32+H25</f>
        <v>5057500</v>
      </c>
    </row>
    <row r="23" spans="1:12" ht="25.5" x14ac:dyDescent="0.2">
      <c r="A23" s="3"/>
      <c r="B23" s="14" t="s">
        <v>106</v>
      </c>
      <c r="C23" s="81">
        <v>1</v>
      </c>
      <c r="D23" s="185">
        <v>108900</v>
      </c>
      <c r="E23" s="81">
        <v>1</v>
      </c>
      <c r="F23" s="79">
        <v>108900</v>
      </c>
      <c r="G23" s="81">
        <v>1</v>
      </c>
      <c r="H23" s="79">
        <v>108900</v>
      </c>
    </row>
    <row r="24" spans="1:12" ht="25.5" x14ac:dyDescent="0.2">
      <c r="A24" s="3"/>
      <c r="B24" s="14" t="s">
        <v>107</v>
      </c>
      <c r="C24" s="81">
        <v>1</v>
      </c>
      <c r="D24" s="185">
        <v>0</v>
      </c>
      <c r="E24" s="85"/>
      <c r="F24" s="79">
        <v>0</v>
      </c>
      <c r="G24" s="85"/>
      <c r="H24" s="79">
        <v>0</v>
      </c>
    </row>
    <row r="25" spans="1:12" x14ac:dyDescent="0.2">
      <c r="A25" s="3"/>
      <c r="B25" s="14" t="s">
        <v>252</v>
      </c>
      <c r="C25" s="81">
        <v>1</v>
      </c>
      <c r="D25" s="185">
        <v>8500</v>
      </c>
      <c r="E25" s="81">
        <v>1</v>
      </c>
      <c r="F25" s="185">
        <v>8500</v>
      </c>
      <c r="G25" s="81">
        <v>1</v>
      </c>
      <c r="H25" s="185">
        <v>8500</v>
      </c>
    </row>
    <row r="26" spans="1:12" ht="24" x14ac:dyDescent="0.2">
      <c r="A26" s="3"/>
      <c r="B26" s="192" t="s">
        <v>258</v>
      </c>
      <c r="C26" s="81"/>
      <c r="D26" s="185">
        <v>46700</v>
      </c>
      <c r="E26" s="85"/>
      <c r="F26" s="79">
        <v>46700</v>
      </c>
      <c r="G26" s="85"/>
      <c r="H26" s="79">
        <f>46700-44.8</f>
        <v>46655.199999999997</v>
      </c>
    </row>
    <row r="27" spans="1:12" ht="25.5" x14ac:dyDescent="0.2">
      <c r="A27" s="3"/>
      <c r="B27" s="14" t="s">
        <v>111</v>
      </c>
      <c r="C27" s="81"/>
      <c r="D27" s="185"/>
      <c r="E27" s="85"/>
      <c r="F27" s="79"/>
      <c r="G27" s="85"/>
      <c r="H27" s="79"/>
      <c r="J27" s="36"/>
    </row>
    <row r="28" spans="1:12" ht="51" x14ac:dyDescent="0.2">
      <c r="A28" s="3"/>
      <c r="B28" s="14" t="s">
        <v>108</v>
      </c>
      <c r="C28" s="81">
        <v>1</v>
      </c>
      <c r="D28" s="185">
        <v>10800</v>
      </c>
      <c r="E28" s="81">
        <v>1</v>
      </c>
      <c r="F28" s="79">
        <v>10800</v>
      </c>
      <c r="G28" s="81">
        <v>1</v>
      </c>
      <c r="H28" s="79">
        <v>10800</v>
      </c>
    </row>
    <row r="29" spans="1:12" x14ac:dyDescent="0.2">
      <c r="A29" s="3"/>
      <c r="B29" s="14" t="s">
        <v>225</v>
      </c>
      <c r="C29" s="81"/>
      <c r="D29" s="185">
        <v>0</v>
      </c>
      <c r="E29" s="85"/>
      <c r="F29" s="79">
        <v>0</v>
      </c>
      <c r="G29" s="85"/>
      <c r="H29" s="79">
        <v>0</v>
      </c>
      <c r="I29" s="36"/>
    </row>
    <row r="30" spans="1:12" ht="25.5" x14ac:dyDescent="0.2">
      <c r="A30" s="3"/>
      <c r="B30" s="14" t="s">
        <v>224</v>
      </c>
      <c r="C30" s="81">
        <v>0</v>
      </c>
      <c r="D30" s="185">
        <f>7780+20</f>
        <v>7800</v>
      </c>
      <c r="E30" s="85"/>
      <c r="F30" s="79">
        <v>7800</v>
      </c>
      <c r="G30" s="85"/>
      <c r="H30" s="79">
        <v>7800</v>
      </c>
      <c r="I30" s="36"/>
    </row>
    <row r="31" spans="1:12" x14ac:dyDescent="0.2">
      <c r="A31" s="3"/>
      <c r="B31" s="14" t="s">
        <v>227</v>
      </c>
      <c r="C31" s="85"/>
      <c r="D31" s="79">
        <v>0</v>
      </c>
      <c r="E31" s="85"/>
      <c r="F31" s="79">
        <v>0</v>
      </c>
      <c r="G31" s="152"/>
      <c r="H31" s="79">
        <v>0</v>
      </c>
      <c r="I31" s="36"/>
    </row>
    <row r="32" spans="1:12" x14ac:dyDescent="0.2">
      <c r="A32" s="3"/>
      <c r="B32" s="14" t="s">
        <v>109</v>
      </c>
      <c r="C32" s="85">
        <v>1</v>
      </c>
      <c r="D32" s="79">
        <v>4928300</v>
      </c>
      <c r="E32" s="85">
        <v>1</v>
      </c>
      <c r="F32" s="79">
        <v>4928300</v>
      </c>
      <c r="G32" s="152">
        <v>1</v>
      </c>
      <c r="H32" s="79">
        <v>4929300</v>
      </c>
    </row>
    <row r="33" spans="1:8" ht="13.5" thickBot="1" x14ac:dyDescent="0.25">
      <c r="A33" s="21"/>
      <c r="B33" s="84" t="s">
        <v>12</v>
      </c>
      <c r="C33" s="86"/>
      <c r="D33" s="50">
        <f>D13+D22</f>
        <v>6289900</v>
      </c>
      <c r="E33" s="86"/>
      <c r="F33" s="50">
        <f>F13+F22</f>
        <v>6115400</v>
      </c>
      <c r="G33" s="86"/>
      <c r="H33" s="50">
        <f>H13+H22</f>
        <v>5749644.7999999998</v>
      </c>
    </row>
  </sheetData>
  <mergeCells count="5">
    <mergeCell ref="A4:D4"/>
    <mergeCell ref="C8:D8"/>
    <mergeCell ref="E8:F8"/>
    <mergeCell ref="G8:H8"/>
    <mergeCell ref="A1:H1"/>
  </mergeCells>
  <pageMargins left="0.70866141732283472" right="0.70866141732283472" top="0.74803149606299213" bottom="0.74803149606299213" header="0.31496062992125984" footer="0.31496062992125984"/>
  <pageSetup paperSize="9" scale="75" orientation="portrait" horizontalDpi="360" verticalDpi="36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tabColor rgb="FFFFFF00"/>
  </sheetPr>
  <dimension ref="A1:K17"/>
  <sheetViews>
    <sheetView zoomScaleNormal="100" workbookViewId="0">
      <selection activeCell="I15" sqref="I15"/>
    </sheetView>
  </sheetViews>
  <sheetFormatPr defaultRowHeight="12.75" x14ac:dyDescent="0.2"/>
  <cols>
    <col min="1" max="1" width="4.28515625" style="1" customWidth="1"/>
    <col min="2" max="2" width="23.28515625" style="1" customWidth="1"/>
    <col min="3" max="3" width="11.28515625" style="1" customWidth="1"/>
    <col min="4" max="4" width="12.85546875" style="1" customWidth="1"/>
    <col min="5" max="5" width="14" style="1" customWidth="1"/>
    <col min="6" max="6" width="10.42578125" style="1" customWidth="1"/>
    <col min="7" max="7" width="9.140625" style="1"/>
    <col min="8" max="8" width="10.7109375" style="1" customWidth="1"/>
    <col min="9" max="9" width="10.140625" style="1" customWidth="1"/>
    <col min="10" max="10" width="9.140625" style="1"/>
    <col min="11" max="11" width="11.140625" style="1" customWidth="1"/>
    <col min="12" max="16384" width="9.140625" style="1"/>
  </cols>
  <sheetData>
    <row r="1" spans="1:11" ht="37.5" customHeight="1" x14ac:dyDescent="0.3">
      <c r="A1" s="208" t="s">
        <v>163</v>
      </c>
      <c r="B1" s="208"/>
      <c r="C1" s="208"/>
      <c r="D1" s="208"/>
      <c r="E1" s="208"/>
      <c r="F1" s="208"/>
      <c r="G1" s="208"/>
      <c r="H1" s="208"/>
      <c r="I1" s="208"/>
      <c r="J1" s="39"/>
    </row>
    <row r="2" spans="1:11" x14ac:dyDescent="0.2">
      <c r="A2" s="1" t="s">
        <v>65</v>
      </c>
      <c r="D2" s="1" t="s">
        <v>164</v>
      </c>
    </row>
    <row r="4" spans="1:11" ht="26.25" customHeight="1" x14ac:dyDescent="0.2">
      <c r="A4" s="207" t="s">
        <v>66</v>
      </c>
      <c r="B4" s="207"/>
      <c r="C4" s="207"/>
      <c r="D4" s="207"/>
      <c r="E4" s="207"/>
    </row>
    <row r="6" spans="1:11" x14ac:dyDescent="0.2">
      <c r="A6" s="1" t="s">
        <v>161</v>
      </c>
    </row>
    <row r="7" spans="1:11" ht="13.5" thickBot="1" x14ac:dyDescent="0.25"/>
    <row r="8" spans="1:11" ht="14.25" x14ac:dyDescent="0.2">
      <c r="C8" s="224" t="s">
        <v>217</v>
      </c>
      <c r="D8" s="225"/>
      <c r="E8" s="226"/>
      <c r="F8" s="224" t="s">
        <v>235</v>
      </c>
      <c r="G8" s="225"/>
      <c r="H8" s="226"/>
      <c r="I8" s="224" t="s">
        <v>250</v>
      </c>
      <c r="J8" s="225"/>
      <c r="K8" s="226"/>
    </row>
    <row r="9" spans="1:11" ht="23.25" customHeight="1" x14ac:dyDescent="0.2">
      <c r="A9" s="5" t="s">
        <v>2</v>
      </c>
      <c r="B9" s="29" t="s">
        <v>13</v>
      </c>
      <c r="C9" s="42" t="s">
        <v>112</v>
      </c>
      <c r="D9" s="5" t="s">
        <v>113</v>
      </c>
      <c r="E9" s="43" t="s">
        <v>169</v>
      </c>
      <c r="F9" s="42" t="s">
        <v>112</v>
      </c>
      <c r="G9" s="5" t="s">
        <v>113</v>
      </c>
      <c r="H9" s="43" t="s">
        <v>169</v>
      </c>
      <c r="I9" s="42" t="s">
        <v>112</v>
      </c>
      <c r="J9" s="5" t="s">
        <v>113</v>
      </c>
      <c r="K9" s="43" t="s">
        <v>169</v>
      </c>
    </row>
    <row r="10" spans="1:11" x14ac:dyDescent="0.2">
      <c r="A10" s="5">
        <v>1</v>
      </c>
      <c r="B10" s="29">
        <v>2</v>
      </c>
      <c r="C10" s="42">
        <v>3</v>
      </c>
      <c r="D10" s="5">
        <v>4</v>
      </c>
      <c r="E10" s="45">
        <v>5</v>
      </c>
      <c r="F10" s="42">
        <v>3</v>
      </c>
      <c r="G10" s="5">
        <v>4</v>
      </c>
      <c r="H10" s="45">
        <v>5</v>
      </c>
      <c r="I10" s="42">
        <v>3</v>
      </c>
      <c r="J10" s="5">
        <v>4</v>
      </c>
      <c r="K10" s="45">
        <v>5</v>
      </c>
    </row>
    <row r="11" spans="1:11" ht="25.5" x14ac:dyDescent="0.2">
      <c r="A11" s="3"/>
      <c r="B11" s="40" t="s">
        <v>114</v>
      </c>
      <c r="C11" s="77" t="s">
        <v>22</v>
      </c>
      <c r="D11" s="27" t="s">
        <v>22</v>
      </c>
      <c r="E11" s="87" t="s">
        <v>22</v>
      </c>
      <c r="F11" s="77" t="s">
        <v>22</v>
      </c>
      <c r="G11" s="27" t="s">
        <v>22</v>
      </c>
      <c r="H11" s="87" t="s">
        <v>22</v>
      </c>
      <c r="I11" s="77" t="s">
        <v>22</v>
      </c>
      <c r="J11" s="27" t="s">
        <v>22</v>
      </c>
      <c r="K11" s="87" t="s">
        <v>22</v>
      </c>
    </row>
    <row r="12" spans="1:11" ht="25.5" customHeight="1" x14ac:dyDescent="0.2">
      <c r="A12" s="3"/>
      <c r="B12" s="40" t="s">
        <v>115</v>
      </c>
      <c r="C12" s="46"/>
      <c r="D12" s="26"/>
      <c r="E12" s="78">
        <f>E13+E14+E15+E16</f>
        <v>0</v>
      </c>
      <c r="F12" s="46"/>
      <c r="G12" s="26"/>
      <c r="H12" s="78">
        <f>H13+H14+H15+H16</f>
        <v>0</v>
      </c>
      <c r="I12" s="46"/>
      <c r="J12" s="26"/>
      <c r="K12" s="78">
        <f>K13+K14+K15+K16</f>
        <v>52500</v>
      </c>
    </row>
    <row r="13" spans="1:11" ht="25.5" x14ac:dyDescent="0.2">
      <c r="A13" s="3" t="s">
        <v>23</v>
      </c>
      <c r="B13" s="40" t="s">
        <v>228</v>
      </c>
      <c r="C13" s="46">
        <v>0</v>
      </c>
      <c r="D13" s="26">
        <v>0</v>
      </c>
      <c r="E13" s="47">
        <v>0</v>
      </c>
      <c r="F13" s="46">
        <v>0</v>
      </c>
      <c r="G13" s="26">
        <v>0</v>
      </c>
      <c r="H13" s="47">
        <v>0</v>
      </c>
      <c r="I13" s="46">
        <v>0</v>
      </c>
      <c r="J13" s="26">
        <v>0</v>
      </c>
      <c r="K13" s="47">
        <v>0</v>
      </c>
    </row>
    <row r="14" spans="1:11" x14ac:dyDescent="0.2">
      <c r="A14" s="3" t="s">
        <v>25</v>
      </c>
      <c r="B14" s="40" t="s">
        <v>144</v>
      </c>
      <c r="C14" s="46">
        <v>0</v>
      </c>
      <c r="D14" s="26">
        <v>0</v>
      </c>
      <c r="E14" s="47">
        <v>0</v>
      </c>
      <c r="F14" s="46">
        <v>0</v>
      </c>
      <c r="G14" s="26">
        <v>0</v>
      </c>
      <c r="H14" s="47">
        <v>0</v>
      </c>
      <c r="I14" s="46">
        <v>5</v>
      </c>
      <c r="J14" s="26">
        <f>K14/I14</f>
        <v>10500</v>
      </c>
      <c r="K14" s="47">
        <v>52500</v>
      </c>
    </row>
    <row r="15" spans="1:11" x14ac:dyDescent="0.2">
      <c r="A15" s="3" t="s">
        <v>125</v>
      </c>
      <c r="B15" s="40" t="s">
        <v>229</v>
      </c>
      <c r="C15" s="46">
        <v>0</v>
      </c>
      <c r="D15" s="26">
        <v>0</v>
      </c>
      <c r="E15" s="47">
        <v>0</v>
      </c>
      <c r="F15" s="46">
        <v>0</v>
      </c>
      <c r="G15" s="26">
        <v>0</v>
      </c>
      <c r="H15" s="47">
        <v>0</v>
      </c>
      <c r="I15" s="46">
        <v>0</v>
      </c>
      <c r="J15" s="26">
        <v>0</v>
      </c>
      <c r="K15" s="47">
        <v>0</v>
      </c>
    </row>
    <row r="16" spans="1:11" ht="25.5" x14ac:dyDescent="0.2">
      <c r="A16" s="3" t="s">
        <v>126</v>
      </c>
      <c r="B16" s="40" t="s">
        <v>230</v>
      </c>
      <c r="C16" s="109">
        <v>0</v>
      </c>
      <c r="D16" s="110">
        <v>0</v>
      </c>
      <c r="E16" s="111">
        <v>0</v>
      </c>
      <c r="F16" s="109">
        <v>0</v>
      </c>
      <c r="G16" s="110">
        <v>0</v>
      </c>
      <c r="H16" s="111">
        <v>0</v>
      </c>
      <c r="I16" s="109">
        <v>0</v>
      </c>
      <c r="J16" s="110">
        <v>0</v>
      </c>
      <c r="K16" s="111">
        <v>0</v>
      </c>
    </row>
    <row r="17" spans="1:11" ht="13.5" thickBot="1" x14ac:dyDescent="0.25">
      <c r="A17" s="21"/>
      <c r="B17" s="84" t="s">
        <v>12</v>
      </c>
      <c r="C17" s="75" t="s">
        <v>22</v>
      </c>
      <c r="D17" s="49"/>
      <c r="E17" s="50">
        <f>E13+E14+E15+E16</f>
        <v>0</v>
      </c>
      <c r="F17" s="75" t="s">
        <v>22</v>
      </c>
      <c r="G17" s="49" t="s">
        <v>22</v>
      </c>
      <c r="H17" s="50">
        <f>H13+H14+H15+H16</f>
        <v>0</v>
      </c>
      <c r="I17" s="75" t="s">
        <v>22</v>
      </c>
      <c r="J17" s="49" t="s">
        <v>22</v>
      </c>
      <c r="K17" s="50">
        <f>K13+K14+K15+K16</f>
        <v>52500</v>
      </c>
    </row>
  </sheetData>
  <mergeCells count="5">
    <mergeCell ref="A4:E4"/>
    <mergeCell ref="C8:E8"/>
    <mergeCell ref="F8:H8"/>
    <mergeCell ref="I8:K8"/>
    <mergeCell ref="A1:I1"/>
  </mergeCells>
  <pageMargins left="0.70866141732283472" right="0.31496062992125984" top="0.74803149606299213" bottom="0.74803149606299213" header="0.31496062992125984" footer="0.31496062992125984"/>
  <pageSetup paperSize="9" orientation="landscape" horizontalDpi="360" verticalDpi="36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rgb="FFFFFF00"/>
  </sheetPr>
  <dimension ref="A1:K17"/>
  <sheetViews>
    <sheetView zoomScaleNormal="100" workbookViewId="0">
      <selection activeCell="E15" sqref="E15"/>
    </sheetView>
  </sheetViews>
  <sheetFormatPr defaultRowHeight="12.75" x14ac:dyDescent="0.2"/>
  <cols>
    <col min="1" max="1" width="5.28515625" style="1" customWidth="1"/>
    <col min="2" max="2" width="28.7109375" style="1" customWidth="1"/>
    <col min="3" max="3" width="11" style="1" customWidth="1"/>
    <col min="4" max="4" width="13" style="1" customWidth="1"/>
    <col min="5" max="5" width="15.140625" style="1" customWidth="1"/>
    <col min="6" max="6" width="11" style="1" customWidth="1"/>
    <col min="7" max="7" width="9.85546875" style="1" customWidth="1"/>
    <col min="8" max="8" width="11.85546875" style="1" customWidth="1"/>
    <col min="9" max="9" width="10.5703125" style="1" customWidth="1"/>
    <col min="10" max="10" width="9.140625" style="1"/>
    <col min="11" max="11" width="10.85546875" style="1" customWidth="1"/>
    <col min="12" max="16384" width="9.140625" style="1"/>
  </cols>
  <sheetData>
    <row r="1" spans="1:11" ht="42" customHeight="1" x14ac:dyDescent="0.3">
      <c r="A1" s="208" t="s">
        <v>163</v>
      </c>
      <c r="B1" s="208"/>
      <c r="C1" s="208"/>
      <c r="D1" s="208"/>
      <c r="E1" s="208"/>
      <c r="F1" s="208"/>
      <c r="G1" s="208"/>
      <c r="H1" s="208"/>
      <c r="I1" s="208"/>
      <c r="J1" s="208"/>
    </row>
    <row r="2" spans="1:11" x14ac:dyDescent="0.2">
      <c r="A2" s="1" t="s">
        <v>65</v>
      </c>
      <c r="D2" s="1" t="s">
        <v>164</v>
      </c>
    </row>
    <row r="4" spans="1:11" ht="30.75" customHeight="1" x14ac:dyDescent="0.2">
      <c r="A4" s="207" t="s">
        <v>66</v>
      </c>
      <c r="B4" s="207"/>
      <c r="C4" s="207"/>
      <c r="D4" s="207"/>
      <c r="E4" s="207"/>
    </row>
    <row r="6" spans="1:11" x14ac:dyDescent="0.2">
      <c r="A6" s="1" t="s">
        <v>165</v>
      </c>
    </row>
    <row r="7" spans="1:11" ht="13.5" thickBot="1" x14ac:dyDescent="0.25"/>
    <row r="8" spans="1:11" ht="15" customHeight="1" x14ac:dyDescent="0.2">
      <c r="C8" s="224" t="s">
        <v>217</v>
      </c>
      <c r="D8" s="225"/>
      <c r="E8" s="226"/>
      <c r="F8" s="224" t="s">
        <v>235</v>
      </c>
      <c r="G8" s="225"/>
      <c r="H8" s="226"/>
      <c r="I8" s="224" t="s">
        <v>250</v>
      </c>
      <c r="J8" s="225"/>
      <c r="K8" s="226"/>
    </row>
    <row r="9" spans="1:11" ht="24.75" customHeight="1" x14ac:dyDescent="0.2">
      <c r="A9" s="5" t="s">
        <v>2</v>
      </c>
      <c r="B9" s="29" t="s">
        <v>13</v>
      </c>
      <c r="C9" s="42" t="s">
        <v>112</v>
      </c>
      <c r="D9" s="5" t="s">
        <v>113</v>
      </c>
      <c r="E9" s="43" t="s">
        <v>169</v>
      </c>
      <c r="F9" s="42" t="s">
        <v>112</v>
      </c>
      <c r="G9" s="5" t="s">
        <v>113</v>
      </c>
      <c r="H9" s="43" t="s">
        <v>169</v>
      </c>
      <c r="I9" s="42" t="s">
        <v>112</v>
      </c>
      <c r="J9" s="5" t="s">
        <v>113</v>
      </c>
      <c r="K9" s="43" t="s">
        <v>169</v>
      </c>
    </row>
    <row r="10" spans="1:11" x14ac:dyDescent="0.2">
      <c r="A10" s="5">
        <v>1</v>
      </c>
      <c r="B10" s="29">
        <v>2</v>
      </c>
      <c r="C10" s="42">
        <v>3</v>
      </c>
      <c r="D10" s="5">
        <v>4</v>
      </c>
      <c r="E10" s="45">
        <v>5</v>
      </c>
      <c r="F10" s="42">
        <v>3</v>
      </c>
      <c r="G10" s="5">
        <v>4</v>
      </c>
      <c r="H10" s="45">
        <v>5</v>
      </c>
      <c r="I10" s="42">
        <v>3</v>
      </c>
      <c r="J10" s="5">
        <v>4</v>
      </c>
      <c r="K10" s="45">
        <v>5</v>
      </c>
    </row>
    <row r="11" spans="1:11" x14ac:dyDescent="0.2">
      <c r="A11" s="3"/>
      <c r="B11" s="40" t="s">
        <v>114</v>
      </c>
      <c r="C11" s="77" t="s">
        <v>22</v>
      </c>
      <c r="D11" s="27" t="s">
        <v>22</v>
      </c>
      <c r="E11" s="87" t="s">
        <v>22</v>
      </c>
      <c r="F11" s="77" t="s">
        <v>22</v>
      </c>
      <c r="G11" s="27" t="s">
        <v>22</v>
      </c>
      <c r="H11" s="87" t="s">
        <v>22</v>
      </c>
      <c r="I11" s="77" t="s">
        <v>22</v>
      </c>
      <c r="J11" s="27" t="s">
        <v>22</v>
      </c>
      <c r="K11" s="87" t="s">
        <v>22</v>
      </c>
    </row>
    <row r="12" spans="1:11" ht="25.5" x14ac:dyDescent="0.2">
      <c r="A12" s="3"/>
      <c r="B12" s="40" t="s">
        <v>115</v>
      </c>
      <c r="C12" s="46"/>
      <c r="D12" s="26"/>
      <c r="E12" s="78">
        <f>E13+E14+E15+E16</f>
        <v>260000</v>
      </c>
      <c r="F12" s="46"/>
      <c r="G12" s="26"/>
      <c r="H12" s="78">
        <f>H13+H14+H15+H16</f>
        <v>260000</v>
      </c>
      <c r="I12" s="46"/>
      <c r="J12" s="26"/>
      <c r="K12" s="78">
        <f>K13+K14+K15+K16</f>
        <v>260000</v>
      </c>
    </row>
    <row r="13" spans="1:11" x14ac:dyDescent="0.2">
      <c r="A13" s="3" t="s">
        <v>23</v>
      </c>
      <c r="B13" s="40" t="s">
        <v>172</v>
      </c>
      <c r="C13" s="46">
        <v>0</v>
      </c>
      <c r="D13" s="26">
        <v>0</v>
      </c>
      <c r="E13" s="47">
        <v>0</v>
      </c>
      <c r="F13" s="46">
        <v>40</v>
      </c>
      <c r="G13" s="26">
        <f>H13/F13</f>
        <v>2750</v>
      </c>
      <c r="H13" s="47">
        <v>110000</v>
      </c>
      <c r="I13" s="46">
        <v>40</v>
      </c>
      <c r="J13" s="26">
        <f>K13/I13</f>
        <v>2750</v>
      </c>
      <c r="K13" s="47">
        <v>110000</v>
      </c>
    </row>
    <row r="14" spans="1:11" x14ac:dyDescent="0.2">
      <c r="A14" s="3" t="s">
        <v>25</v>
      </c>
      <c r="B14" s="40" t="s">
        <v>232</v>
      </c>
      <c r="C14" s="46">
        <v>25</v>
      </c>
      <c r="D14" s="26">
        <f>E14/C14</f>
        <v>1592.96</v>
      </c>
      <c r="E14" s="47">
        <f>7824+32000</f>
        <v>39824</v>
      </c>
      <c r="F14" s="46">
        <v>25</v>
      </c>
      <c r="G14" s="26">
        <f>H14/F14</f>
        <v>6000</v>
      </c>
      <c r="H14" s="47">
        <v>150000</v>
      </c>
      <c r="I14" s="46">
        <v>25</v>
      </c>
      <c r="J14" s="26">
        <f>K14/I14</f>
        <v>6000</v>
      </c>
      <c r="K14" s="47">
        <v>150000</v>
      </c>
    </row>
    <row r="15" spans="1:11" x14ac:dyDescent="0.2">
      <c r="A15" s="3" t="s">
        <v>125</v>
      </c>
      <c r="B15" s="40" t="s">
        <v>231</v>
      </c>
      <c r="C15" s="46">
        <v>0</v>
      </c>
      <c r="D15" s="26">
        <v>0</v>
      </c>
      <c r="E15" s="47">
        <v>0</v>
      </c>
      <c r="F15" s="46">
        <v>0</v>
      </c>
      <c r="G15" s="26">
        <v>0</v>
      </c>
      <c r="H15" s="47">
        <v>0</v>
      </c>
      <c r="I15" s="46">
        <v>0</v>
      </c>
      <c r="J15" s="26">
        <v>0</v>
      </c>
      <c r="K15" s="47">
        <v>0</v>
      </c>
    </row>
    <row r="16" spans="1:11" x14ac:dyDescent="0.2">
      <c r="A16" s="3" t="s">
        <v>126</v>
      </c>
      <c r="B16" s="40" t="s">
        <v>255</v>
      </c>
      <c r="C16" s="46">
        <v>1</v>
      </c>
      <c r="D16" s="26">
        <f>E16/C16</f>
        <v>220176</v>
      </c>
      <c r="E16" s="47">
        <v>220176</v>
      </c>
      <c r="F16" s="46">
        <v>0</v>
      </c>
      <c r="G16" s="26">
        <v>0</v>
      </c>
      <c r="H16" s="47">
        <v>0</v>
      </c>
      <c r="I16" s="46">
        <v>0</v>
      </c>
      <c r="J16" s="26">
        <v>0</v>
      </c>
      <c r="K16" s="47">
        <v>0</v>
      </c>
    </row>
    <row r="17" spans="1:11" ht="13.5" thickBot="1" x14ac:dyDescent="0.25">
      <c r="A17" s="21"/>
      <c r="B17" s="84" t="s">
        <v>12</v>
      </c>
      <c r="C17" s="75" t="s">
        <v>22</v>
      </c>
      <c r="D17" s="49" t="s">
        <v>22</v>
      </c>
      <c r="E17" s="50">
        <f>E13+E14+E15+E16</f>
        <v>260000</v>
      </c>
      <c r="F17" s="75" t="s">
        <v>22</v>
      </c>
      <c r="G17" s="49" t="s">
        <v>22</v>
      </c>
      <c r="H17" s="50">
        <f>H13+H14+H15+H16</f>
        <v>260000</v>
      </c>
      <c r="I17" s="75" t="s">
        <v>22</v>
      </c>
      <c r="J17" s="49" t="s">
        <v>22</v>
      </c>
      <c r="K17" s="50">
        <f>K13+K14+K15+K16</f>
        <v>260000</v>
      </c>
    </row>
  </sheetData>
  <mergeCells count="5">
    <mergeCell ref="A4:E4"/>
    <mergeCell ref="C8:E8"/>
    <mergeCell ref="F8:H8"/>
    <mergeCell ref="I8:K8"/>
    <mergeCell ref="A1:J1"/>
  </mergeCells>
  <pageMargins left="0.70866141732283472" right="0.31496062992125984" top="0.74803149606299213" bottom="0.74803149606299213" header="0.31496062992125984" footer="0.31496062992125984"/>
  <pageSetup paperSize="9" scale="99" orientation="landscape" horizontalDpi="360" verticalDpi="36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tabColor rgb="FFFFFF00"/>
  </sheetPr>
  <dimension ref="A1:N37"/>
  <sheetViews>
    <sheetView topLeftCell="A19" zoomScale="85" zoomScaleNormal="85" workbookViewId="0">
      <selection activeCell="N24" sqref="N24"/>
    </sheetView>
  </sheetViews>
  <sheetFormatPr defaultRowHeight="12.75" x14ac:dyDescent="0.2"/>
  <cols>
    <col min="1" max="1" width="4.28515625" style="1" customWidth="1"/>
    <col min="2" max="2" width="23.28515625" style="1" customWidth="1"/>
    <col min="3" max="3" width="9.7109375" style="1" customWidth="1"/>
    <col min="4" max="4" width="10.5703125" style="1" customWidth="1"/>
    <col min="5" max="5" width="13" style="1" customWidth="1"/>
    <col min="6" max="6" width="11.7109375" style="1" customWidth="1"/>
    <col min="7" max="7" width="10.42578125" style="1" customWidth="1"/>
    <col min="8" max="8" width="10.140625" style="1" customWidth="1"/>
    <col min="9" max="9" width="9.140625" style="1"/>
    <col min="10" max="10" width="10.42578125" style="1" customWidth="1"/>
    <col min="11" max="11" width="9.42578125" style="1" customWidth="1"/>
    <col min="12" max="13" width="9.140625" style="1"/>
    <col min="14" max="14" width="10.140625" style="1" customWidth="1"/>
    <col min="15" max="16384" width="9.140625" style="1"/>
  </cols>
  <sheetData>
    <row r="1" spans="1:14" ht="42.75" customHeight="1" x14ac:dyDescent="0.3">
      <c r="A1" s="208" t="s">
        <v>162</v>
      </c>
      <c r="B1" s="208"/>
      <c r="C1" s="208"/>
      <c r="D1" s="208"/>
      <c r="E1" s="208"/>
      <c r="F1" s="208"/>
      <c r="G1" s="208"/>
      <c r="H1" s="208"/>
      <c r="I1" s="39"/>
      <c r="J1" s="39"/>
      <c r="K1" s="39"/>
      <c r="L1" s="39"/>
    </row>
    <row r="2" spans="1:14" x14ac:dyDescent="0.2">
      <c r="A2" s="1" t="s">
        <v>65</v>
      </c>
    </row>
    <row r="4" spans="1:14" x14ac:dyDescent="0.2">
      <c r="A4" s="1" t="s">
        <v>66</v>
      </c>
    </row>
    <row r="6" spans="1:14" x14ac:dyDescent="0.2">
      <c r="A6" s="1" t="s">
        <v>155</v>
      </c>
    </row>
    <row r="7" spans="1:14" ht="13.5" thickBot="1" x14ac:dyDescent="0.25"/>
    <row r="8" spans="1:14" ht="15.75" thickBot="1" x14ac:dyDescent="0.3">
      <c r="C8" s="228" t="s">
        <v>235</v>
      </c>
      <c r="D8" s="229"/>
      <c r="E8" s="229"/>
      <c r="F8" s="230"/>
      <c r="G8" s="224" t="s">
        <v>250</v>
      </c>
      <c r="H8" s="225"/>
      <c r="I8" s="225"/>
      <c r="J8" s="226"/>
      <c r="K8" s="224" t="s">
        <v>257</v>
      </c>
      <c r="L8" s="225"/>
      <c r="M8" s="225"/>
      <c r="N8" s="226"/>
    </row>
    <row r="9" spans="1:14" ht="38.25" x14ac:dyDescent="0.2">
      <c r="A9" s="5" t="s">
        <v>2</v>
      </c>
      <c r="B9" s="29" t="s">
        <v>13</v>
      </c>
      <c r="C9" s="186" t="s">
        <v>117</v>
      </c>
      <c r="D9" s="184" t="s">
        <v>112</v>
      </c>
      <c r="E9" s="184" t="s">
        <v>118</v>
      </c>
      <c r="F9" s="187" t="s">
        <v>182</v>
      </c>
      <c r="G9" s="89" t="s">
        <v>117</v>
      </c>
      <c r="H9" s="8" t="s">
        <v>112</v>
      </c>
      <c r="I9" s="8" t="s">
        <v>118</v>
      </c>
      <c r="J9" s="90" t="s">
        <v>182</v>
      </c>
      <c r="K9" s="89" t="s">
        <v>117</v>
      </c>
      <c r="L9" s="8" t="s">
        <v>112</v>
      </c>
      <c r="M9" s="8" t="s">
        <v>118</v>
      </c>
      <c r="N9" s="90" t="s">
        <v>182</v>
      </c>
    </row>
    <row r="10" spans="1:14" x14ac:dyDescent="0.2">
      <c r="A10" s="5">
        <v>1</v>
      </c>
      <c r="B10" s="29">
        <v>2</v>
      </c>
      <c r="C10" s="42">
        <v>3</v>
      </c>
      <c r="D10" s="5">
        <v>4</v>
      </c>
      <c r="E10" s="5">
        <v>5</v>
      </c>
      <c r="F10" s="43">
        <v>6</v>
      </c>
      <c r="G10" s="42">
        <v>7</v>
      </c>
      <c r="H10" s="5">
        <v>8</v>
      </c>
      <c r="I10" s="5">
        <v>9</v>
      </c>
      <c r="J10" s="43">
        <v>10</v>
      </c>
      <c r="K10" s="42">
        <v>11</v>
      </c>
      <c r="L10" s="5">
        <v>12</v>
      </c>
      <c r="M10" s="5">
        <v>13</v>
      </c>
      <c r="N10" s="43">
        <v>14</v>
      </c>
    </row>
    <row r="11" spans="1:14" x14ac:dyDescent="0.2">
      <c r="A11" s="3"/>
      <c r="B11" s="40" t="s">
        <v>116</v>
      </c>
      <c r="C11" s="89" t="s">
        <v>22</v>
      </c>
      <c r="D11" s="8" t="s">
        <v>22</v>
      </c>
      <c r="E11" s="8" t="s">
        <v>22</v>
      </c>
      <c r="F11" s="90" t="s">
        <v>22</v>
      </c>
      <c r="G11" s="89" t="s">
        <v>22</v>
      </c>
      <c r="H11" s="8" t="s">
        <v>22</v>
      </c>
      <c r="I11" s="8" t="s">
        <v>22</v>
      </c>
      <c r="J11" s="90" t="s">
        <v>22</v>
      </c>
      <c r="K11" s="89" t="s">
        <v>22</v>
      </c>
      <c r="L11" s="8" t="s">
        <v>22</v>
      </c>
      <c r="M11" s="8" t="s">
        <v>22</v>
      </c>
      <c r="N11" s="90" t="s">
        <v>22</v>
      </c>
    </row>
    <row r="12" spans="1:14" ht="25.5" x14ac:dyDescent="0.2">
      <c r="A12" s="3"/>
      <c r="B12" s="40" t="s">
        <v>119</v>
      </c>
      <c r="C12" s="44"/>
      <c r="D12" s="26"/>
      <c r="E12" s="26"/>
      <c r="F12" s="78"/>
      <c r="G12" s="44"/>
      <c r="H12" s="26"/>
      <c r="I12" s="26"/>
      <c r="J12" s="78"/>
      <c r="K12" s="44"/>
      <c r="L12" s="26"/>
      <c r="M12" s="26"/>
      <c r="N12" s="78"/>
    </row>
    <row r="13" spans="1:14" ht="25.5" x14ac:dyDescent="0.2">
      <c r="A13" s="3"/>
      <c r="B13" s="188" t="s">
        <v>184</v>
      </c>
      <c r="C13" s="189"/>
      <c r="D13" s="112">
        <f>SUM(D14:D19)</f>
        <v>0</v>
      </c>
      <c r="E13" s="112"/>
      <c r="F13" s="78">
        <v>0</v>
      </c>
      <c r="G13" s="190"/>
      <c r="H13" s="112">
        <v>0</v>
      </c>
      <c r="I13" s="112">
        <v>0</v>
      </c>
      <c r="J13" s="78">
        <v>0</v>
      </c>
      <c r="K13" s="190"/>
      <c r="L13" s="112">
        <f t="shared" ref="L13" si="0">SUM(L14:L19)</f>
        <v>0</v>
      </c>
      <c r="M13" s="112"/>
      <c r="N13" s="78">
        <f>N14+N15+N16+N17+N18+N19</f>
        <v>0</v>
      </c>
    </row>
    <row r="14" spans="1:14" ht="25.5" x14ac:dyDescent="0.2">
      <c r="A14" s="3"/>
      <c r="B14" s="40" t="s">
        <v>185</v>
      </c>
      <c r="C14" s="44" t="s">
        <v>146</v>
      </c>
      <c r="D14" s="26">
        <v>0</v>
      </c>
      <c r="E14" s="26">
        <v>0</v>
      </c>
      <c r="F14" s="47">
        <v>0</v>
      </c>
      <c r="G14" s="44" t="s">
        <v>146</v>
      </c>
      <c r="H14" s="26">
        <v>0</v>
      </c>
      <c r="I14" s="112">
        <v>0</v>
      </c>
      <c r="J14" s="78">
        <v>0</v>
      </c>
      <c r="K14" s="44" t="s">
        <v>146</v>
      </c>
      <c r="L14" s="26">
        <v>0</v>
      </c>
      <c r="M14" s="26">
        <v>0</v>
      </c>
      <c r="N14" s="47">
        <v>0</v>
      </c>
    </row>
    <row r="15" spans="1:14" x14ac:dyDescent="0.2">
      <c r="A15" s="3"/>
      <c r="B15" s="40" t="s">
        <v>233</v>
      </c>
      <c r="C15" s="44" t="s">
        <v>146</v>
      </c>
      <c r="D15" s="26">
        <v>0</v>
      </c>
      <c r="E15" s="26">
        <v>0</v>
      </c>
      <c r="F15" s="47">
        <v>0</v>
      </c>
      <c r="G15" s="44" t="s">
        <v>146</v>
      </c>
      <c r="H15" s="26">
        <v>0</v>
      </c>
      <c r="I15" s="112">
        <v>0</v>
      </c>
      <c r="J15" s="78">
        <v>0</v>
      </c>
      <c r="K15" s="44" t="s">
        <v>146</v>
      </c>
      <c r="L15" s="26">
        <v>0</v>
      </c>
      <c r="M15" s="26">
        <v>0</v>
      </c>
      <c r="N15" s="47">
        <v>0</v>
      </c>
    </row>
    <row r="16" spans="1:14" x14ac:dyDescent="0.2">
      <c r="A16" s="3"/>
      <c r="B16" s="40" t="s">
        <v>186</v>
      </c>
      <c r="C16" s="44" t="s">
        <v>187</v>
      </c>
      <c r="D16" s="26">
        <v>0</v>
      </c>
      <c r="E16" s="26">
        <v>0</v>
      </c>
      <c r="F16" s="47">
        <v>0</v>
      </c>
      <c r="G16" s="44" t="s">
        <v>187</v>
      </c>
      <c r="H16" s="26">
        <v>0</v>
      </c>
      <c r="I16" s="112">
        <v>0</v>
      </c>
      <c r="J16" s="78">
        <v>0</v>
      </c>
      <c r="K16" s="44" t="s">
        <v>187</v>
      </c>
      <c r="L16" s="26">
        <v>0</v>
      </c>
      <c r="M16" s="26">
        <v>0</v>
      </c>
      <c r="N16" s="47">
        <v>0</v>
      </c>
    </row>
    <row r="17" spans="1:14" x14ac:dyDescent="0.2">
      <c r="A17" s="3"/>
      <c r="B17" s="40" t="s">
        <v>188</v>
      </c>
      <c r="C17" s="44" t="s">
        <v>146</v>
      </c>
      <c r="D17" s="26">
        <v>0</v>
      </c>
      <c r="E17" s="26">
        <v>0</v>
      </c>
      <c r="F17" s="47">
        <v>0</v>
      </c>
      <c r="G17" s="44" t="s">
        <v>146</v>
      </c>
      <c r="H17" s="26">
        <v>0</v>
      </c>
      <c r="I17" s="112">
        <v>0</v>
      </c>
      <c r="J17" s="78">
        <v>0</v>
      </c>
      <c r="K17" s="44" t="s">
        <v>146</v>
      </c>
      <c r="L17" s="26">
        <v>0</v>
      </c>
      <c r="M17" s="26">
        <v>0</v>
      </c>
      <c r="N17" s="47">
        <v>0</v>
      </c>
    </row>
    <row r="18" spans="1:14" x14ac:dyDescent="0.2">
      <c r="A18" s="3"/>
      <c r="B18" s="40" t="s">
        <v>189</v>
      </c>
      <c r="C18" s="44" t="s">
        <v>146</v>
      </c>
      <c r="D18" s="26">
        <v>0</v>
      </c>
      <c r="E18" s="26">
        <v>0</v>
      </c>
      <c r="F18" s="47">
        <v>0</v>
      </c>
      <c r="G18" s="44" t="s">
        <v>146</v>
      </c>
      <c r="H18" s="26">
        <v>0</v>
      </c>
      <c r="I18" s="112">
        <v>0</v>
      </c>
      <c r="J18" s="78">
        <v>0</v>
      </c>
      <c r="K18" s="44" t="s">
        <v>146</v>
      </c>
      <c r="L18" s="26">
        <v>0</v>
      </c>
      <c r="M18" s="26">
        <v>0</v>
      </c>
      <c r="N18" s="47">
        <v>0</v>
      </c>
    </row>
    <row r="19" spans="1:14" x14ac:dyDescent="0.2">
      <c r="A19" s="3"/>
      <c r="B19" s="40"/>
      <c r="C19" s="44"/>
      <c r="D19" s="26"/>
      <c r="E19" s="26"/>
      <c r="F19" s="47">
        <v>0</v>
      </c>
      <c r="G19" s="44"/>
      <c r="H19" s="26">
        <v>0</v>
      </c>
      <c r="I19" s="112">
        <v>0</v>
      </c>
      <c r="J19" s="78">
        <v>0</v>
      </c>
      <c r="K19" s="44"/>
      <c r="L19" s="26"/>
      <c r="M19" s="26">
        <v>0</v>
      </c>
      <c r="N19" s="79">
        <f t="shared" ref="N19" si="1">F19</f>
        <v>0</v>
      </c>
    </row>
    <row r="20" spans="1:14" x14ac:dyDescent="0.2">
      <c r="A20" s="3"/>
      <c r="B20" s="188" t="s">
        <v>190</v>
      </c>
      <c r="C20" s="189"/>
      <c r="D20" s="112">
        <v>0</v>
      </c>
      <c r="E20" s="112"/>
      <c r="F20" s="47">
        <v>0</v>
      </c>
      <c r="G20" s="189"/>
      <c r="H20" s="26">
        <v>0</v>
      </c>
      <c r="I20" s="112">
        <v>0</v>
      </c>
      <c r="J20" s="78">
        <v>0</v>
      </c>
      <c r="K20" s="189"/>
      <c r="L20" s="112">
        <v>0</v>
      </c>
      <c r="M20" s="26">
        <v>0</v>
      </c>
      <c r="N20" s="78">
        <v>0</v>
      </c>
    </row>
    <row r="21" spans="1:14" x14ac:dyDescent="0.2">
      <c r="A21" s="3"/>
      <c r="B21" s="40" t="s">
        <v>145</v>
      </c>
      <c r="C21" s="44" t="s">
        <v>146</v>
      </c>
      <c r="D21" s="26">
        <v>0</v>
      </c>
      <c r="E21" s="26">
        <v>0</v>
      </c>
      <c r="F21" s="47">
        <v>0</v>
      </c>
      <c r="G21" s="44" t="s">
        <v>146</v>
      </c>
      <c r="H21" s="26">
        <v>0</v>
      </c>
      <c r="I21" s="112">
        <v>0</v>
      </c>
      <c r="J21" s="78">
        <v>0</v>
      </c>
      <c r="K21" s="44" t="s">
        <v>146</v>
      </c>
      <c r="L21" s="26">
        <v>0</v>
      </c>
      <c r="M21" s="26">
        <v>0</v>
      </c>
      <c r="N21" s="79">
        <v>0</v>
      </c>
    </row>
    <row r="22" spans="1:14" x14ac:dyDescent="0.2">
      <c r="A22" s="3"/>
      <c r="B22" s="40" t="s">
        <v>191</v>
      </c>
      <c r="C22" s="44" t="s">
        <v>146</v>
      </c>
      <c r="D22" s="26">
        <v>0</v>
      </c>
      <c r="E22" s="26">
        <v>0</v>
      </c>
      <c r="F22" s="47">
        <v>0</v>
      </c>
      <c r="G22" s="44" t="s">
        <v>146</v>
      </c>
      <c r="H22" s="26">
        <v>0</v>
      </c>
      <c r="I22" s="112">
        <v>0</v>
      </c>
      <c r="J22" s="78">
        <v>0</v>
      </c>
      <c r="K22" s="44" t="s">
        <v>146</v>
      </c>
      <c r="L22" s="26">
        <v>0</v>
      </c>
      <c r="M22" s="26">
        <v>0</v>
      </c>
      <c r="N22" s="79">
        <v>0</v>
      </c>
    </row>
    <row r="23" spans="1:14" x14ac:dyDescent="0.2">
      <c r="A23" s="3"/>
      <c r="B23" s="40" t="s">
        <v>192</v>
      </c>
      <c r="C23" s="44" t="s">
        <v>146</v>
      </c>
      <c r="D23" s="26">
        <v>0</v>
      </c>
      <c r="E23" s="26">
        <v>0</v>
      </c>
      <c r="F23" s="47">
        <v>0</v>
      </c>
      <c r="G23" s="44" t="s">
        <v>146</v>
      </c>
      <c r="H23" s="26">
        <v>0</v>
      </c>
      <c r="I23" s="112">
        <v>0</v>
      </c>
      <c r="J23" s="78">
        <v>0</v>
      </c>
      <c r="K23" s="44" t="s">
        <v>146</v>
      </c>
      <c r="L23" s="26">
        <v>0</v>
      </c>
      <c r="M23" s="26">
        <v>0</v>
      </c>
      <c r="N23" s="79">
        <v>0</v>
      </c>
    </row>
    <row r="24" spans="1:14" x14ac:dyDescent="0.2">
      <c r="A24" s="3"/>
      <c r="B24" s="40" t="s">
        <v>193</v>
      </c>
      <c r="C24" s="44" t="s">
        <v>146</v>
      </c>
      <c r="D24" s="26">
        <v>0</v>
      </c>
      <c r="E24" s="26">
        <v>0</v>
      </c>
      <c r="F24" s="47">
        <v>0</v>
      </c>
      <c r="G24" s="44" t="s">
        <v>146</v>
      </c>
      <c r="H24" s="26">
        <v>0</v>
      </c>
      <c r="I24" s="112">
        <v>0</v>
      </c>
      <c r="J24" s="78">
        <v>0</v>
      </c>
      <c r="K24" s="44" t="s">
        <v>146</v>
      </c>
      <c r="L24" s="26">
        <v>0</v>
      </c>
      <c r="M24" s="26">
        <v>0</v>
      </c>
      <c r="N24" s="79">
        <v>0</v>
      </c>
    </row>
    <row r="25" spans="1:14" x14ac:dyDescent="0.2">
      <c r="A25" s="3"/>
      <c r="B25" s="40" t="s">
        <v>194</v>
      </c>
      <c r="C25" s="44" t="s">
        <v>146</v>
      </c>
      <c r="D25" s="26">
        <v>0</v>
      </c>
      <c r="E25" s="26">
        <v>0</v>
      </c>
      <c r="F25" s="47">
        <v>0</v>
      </c>
      <c r="G25" s="44" t="s">
        <v>146</v>
      </c>
      <c r="H25" s="26">
        <v>0</v>
      </c>
      <c r="I25" s="112">
        <v>0</v>
      </c>
      <c r="J25" s="78">
        <v>0</v>
      </c>
      <c r="K25" s="44" t="s">
        <v>146</v>
      </c>
      <c r="L25" s="26">
        <v>0</v>
      </c>
      <c r="M25" s="26">
        <v>0</v>
      </c>
      <c r="N25" s="79">
        <v>0</v>
      </c>
    </row>
    <row r="26" spans="1:14" x14ac:dyDescent="0.2">
      <c r="A26" s="3"/>
      <c r="B26" s="40" t="s">
        <v>202</v>
      </c>
      <c r="C26" s="44" t="s">
        <v>187</v>
      </c>
      <c r="D26" s="26">
        <v>0</v>
      </c>
      <c r="E26" s="26">
        <v>0</v>
      </c>
      <c r="F26" s="47">
        <v>0</v>
      </c>
      <c r="G26" s="44" t="s">
        <v>187</v>
      </c>
      <c r="H26" s="26">
        <v>0</v>
      </c>
      <c r="I26" s="112">
        <v>0</v>
      </c>
      <c r="J26" s="78">
        <v>0</v>
      </c>
      <c r="K26" s="44" t="s">
        <v>187</v>
      </c>
      <c r="L26" s="26">
        <v>0</v>
      </c>
      <c r="M26" s="26">
        <v>0</v>
      </c>
      <c r="N26" s="79">
        <v>0</v>
      </c>
    </row>
    <row r="27" spans="1:14" x14ac:dyDescent="0.2">
      <c r="A27" s="3"/>
      <c r="B27" s="40" t="s">
        <v>234</v>
      </c>
      <c r="C27" s="44" t="s">
        <v>146</v>
      </c>
      <c r="D27" s="26">
        <v>0</v>
      </c>
      <c r="E27" s="26">
        <v>0</v>
      </c>
      <c r="F27" s="47">
        <v>0</v>
      </c>
      <c r="G27" s="44" t="s">
        <v>146</v>
      </c>
      <c r="H27" s="26">
        <v>0</v>
      </c>
      <c r="I27" s="112">
        <v>0</v>
      </c>
      <c r="J27" s="78">
        <v>0</v>
      </c>
      <c r="K27" s="44" t="s">
        <v>146</v>
      </c>
      <c r="L27" s="26">
        <v>0</v>
      </c>
      <c r="M27" s="26">
        <v>0</v>
      </c>
      <c r="N27" s="79">
        <v>0</v>
      </c>
    </row>
    <row r="28" spans="1:14" ht="25.5" x14ac:dyDescent="0.2">
      <c r="A28" s="3"/>
      <c r="B28" s="40" t="s">
        <v>195</v>
      </c>
      <c r="C28" s="44" t="s">
        <v>146</v>
      </c>
      <c r="D28" s="26">
        <v>1</v>
      </c>
      <c r="E28" s="26">
        <f>F28/D28</f>
        <v>0</v>
      </c>
      <c r="F28" s="47">
        <v>0</v>
      </c>
      <c r="G28" s="44" t="s">
        <v>146</v>
      </c>
      <c r="H28" s="26">
        <v>0</v>
      </c>
      <c r="I28" s="112">
        <v>0</v>
      </c>
      <c r="J28" s="78">
        <v>0</v>
      </c>
      <c r="K28" s="44" t="s">
        <v>146</v>
      </c>
      <c r="L28" s="26">
        <v>0</v>
      </c>
      <c r="M28" s="26">
        <v>0</v>
      </c>
      <c r="N28" s="47">
        <v>0</v>
      </c>
    </row>
    <row r="29" spans="1:14" x14ac:dyDescent="0.2">
      <c r="A29" s="3"/>
      <c r="B29" s="40" t="s">
        <v>189</v>
      </c>
      <c r="C29" s="44" t="s">
        <v>196</v>
      </c>
      <c r="D29" s="26">
        <v>1</v>
      </c>
      <c r="E29" s="26">
        <f>F29/D29</f>
        <v>0</v>
      </c>
      <c r="F29" s="47">
        <v>0</v>
      </c>
      <c r="G29" s="44" t="s">
        <v>146</v>
      </c>
      <c r="H29" s="26">
        <v>0</v>
      </c>
      <c r="I29" s="112">
        <v>0</v>
      </c>
      <c r="J29" s="78">
        <v>0</v>
      </c>
      <c r="K29" s="44" t="s">
        <v>146</v>
      </c>
      <c r="L29" s="26"/>
      <c r="M29" s="26">
        <v>0</v>
      </c>
      <c r="N29" s="47">
        <v>0</v>
      </c>
    </row>
    <row r="30" spans="1:14" x14ac:dyDescent="0.2">
      <c r="A30" s="3"/>
      <c r="B30" s="188" t="s">
        <v>147</v>
      </c>
      <c r="C30" s="190"/>
      <c r="D30" s="112">
        <f t="shared" ref="D30" si="2">D31</f>
        <v>0</v>
      </c>
      <c r="E30" s="26">
        <v>0</v>
      </c>
      <c r="F30" s="47">
        <v>0</v>
      </c>
      <c r="G30" s="190"/>
      <c r="H30" s="26">
        <v>0</v>
      </c>
      <c r="I30" s="112">
        <v>0</v>
      </c>
      <c r="J30" s="78">
        <v>0</v>
      </c>
      <c r="K30" s="190"/>
      <c r="L30" s="112">
        <f t="shared" ref="L30" si="3">L31</f>
        <v>0</v>
      </c>
      <c r="M30" s="26">
        <v>0</v>
      </c>
      <c r="N30" s="78">
        <f>N31+N32+N33</f>
        <v>0</v>
      </c>
    </row>
    <row r="31" spans="1:14" x14ac:dyDescent="0.2">
      <c r="A31" s="3"/>
      <c r="B31" s="40" t="s">
        <v>197</v>
      </c>
      <c r="C31" s="44" t="s">
        <v>146</v>
      </c>
      <c r="D31" s="26">
        <v>0</v>
      </c>
      <c r="E31" s="26">
        <v>0</v>
      </c>
      <c r="F31" s="47">
        <v>0</v>
      </c>
      <c r="G31" s="44" t="s">
        <v>146</v>
      </c>
      <c r="H31" s="26">
        <v>0</v>
      </c>
      <c r="I31" s="112">
        <v>0</v>
      </c>
      <c r="J31" s="78">
        <v>0</v>
      </c>
      <c r="K31" s="44" t="s">
        <v>146</v>
      </c>
      <c r="L31" s="26">
        <v>0</v>
      </c>
      <c r="M31" s="26">
        <v>0</v>
      </c>
      <c r="N31" s="47">
        <v>0</v>
      </c>
    </row>
    <row r="32" spans="1:14" ht="25.5" x14ac:dyDescent="0.2">
      <c r="A32" s="3"/>
      <c r="B32" s="40" t="s">
        <v>198</v>
      </c>
      <c r="C32" s="44" t="s">
        <v>146</v>
      </c>
      <c r="D32" s="26">
        <v>0</v>
      </c>
      <c r="E32" s="26">
        <v>0</v>
      </c>
      <c r="F32" s="47">
        <v>0</v>
      </c>
      <c r="G32" s="44" t="s">
        <v>146</v>
      </c>
      <c r="H32" s="26">
        <v>0</v>
      </c>
      <c r="I32" s="112">
        <v>0</v>
      </c>
      <c r="J32" s="78">
        <v>0</v>
      </c>
      <c r="K32" s="44" t="s">
        <v>146</v>
      </c>
      <c r="L32" s="26">
        <v>0</v>
      </c>
      <c r="M32" s="26">
        <v>0</v>
      </c>
      <c r="N32" s="47">
        <v>0</v>
      </c>
    </row>
    <row r="33" spans="1:14" x14ac:dyDescent="0.2">
      <c r="A33" s="3"/>
      <c r="B33" s="40" t="s">
        <v>189</v>
      </c>
      <c r="C33" s="44" t="s">
        <v>146</v>
      </c>
      <c r="D33" s="26">
        <v>0</v>
      </c>
      <c r="E33" s="26">
        <v>0</v>
      </c>
      <c r="F33" s="47">
        <v>0</v>
      </c>
      <c r="G33" s="44" t="s">
        <v>146</v>
      </c>
      <c r="H33" s="26">
        <v>0</v>
      </c>
      <c r="I33" s="112">
        <v>0</v>
      </c>
      <c r="J33" s="78">
        <v>0</v>
      </c>
      <c r="K33" s="44" t="s">
        <v>146</v>
      </c>
      <c r="L33" s="26"/>
      <c r="M33" s="26">
        <v>0</v>
      </c>
      <c r="N33" s="47">
        <v>0</v>
      </c>
    </row>
    <row r="34" spans="1:14" ht="38.25" x14ac:dyDescent="0.2">
      <c r="A34" s="3"/>
      <c r="B34" s="188" t="s">
        <v>199</v>
      </c>
      <c r="C34" s="189"/>
      <c r="D34" s="112">
        <f t="shared" ref="D34" si="4">SUM(D35:D36)</f>
        <v>0</v>
      </c>
      <c r="E34" s="112"/>
      <c r="F34" s="47">
        <v>0</v>
      </c>
      <c r="G34" s="189"/>
      <c r="H34" s="26">
        <v>0</v>
      </c>
      <c r="I34" s="112">
        <v>0</v>
      </c>
      <c r="J34" s="78">
        <v>0</v>
      </c>
      <c r="K34" s="189"/>
      <c r="L34" s="112">
        <f t="shared" ref="L34" si="5">SUM(L35:L36)</f>
        <v>0</v>
      </c>
      <c r="M34" s="26">
        <v>0</v>
      </c>
      <c r="N34" s="78">
        <f>N35+N36</f>
        <v>0</v>
      </c>
    </row>
    <row r="35" spans="1:14" x14ac:dyDescent="0.2">
      <c r="A35" s="3"/>
      <c r="B35" s="40" t="s">
        <v>200</v>
      </c>
      <c r="C35" s="44" t="s">
        <v>146</v>
      </c>
      <c r="D35" s="26">
        <v>0</v>
      </c>
      <c r="E35" s="26">
        <v>0</v>
      </c>
      <c r="F35" s="47">
        <v>0</v>
      </c>
      <c r="G35" s="44" t="s">
        <v>146</v>
      </c>
      <c r="H35" s="26">
        <v>0</v>
      </c>
      <c r="I35" s="112">
        <v>0</v>
      </c>
      <c r="J35" s="78">
        <v>0</v>
      </c>
      <c r="K35" s="44" t="s">
        <v>146</v>
      </c>
      <c r="L35" s="26">
        <v>0</v>
      </c>
      <c r="M35" s="26">
        <v>0</v>
      </c>
      <c r="N35" s="47">
        <v>0</v>
      </c>
    </row>
    <row r="36" spans="1:14" x14ac:dyDescent="0.2">
      <c r="A36" s="3"/>
      <c r="B36" s="51" t="s">
        <v>201</v>
      </c>
      <c r="C36" s="44" t="s">
        <v>146</v>
      </c>
      <c r="D36" s="26">
        <v>0</v>
      </c>
      <c r="E36" s="26">
        <v>0</v>
      </c>
      <c r="F36" s="47">
        <v>0</v>
      </c>
      <c r="G36" s="44" t="s">
        <v>146</v>
      </c>
      <c r="H36" s="26">
        <v>0</v>
      </c>
      <c r="I36" s="112">
        <v>0</v>
      </c>
      <c r="J36" s="78">
        <v>0</v>
      </c>
      <c r="K36" s="44" t="s">
        <v>146</v>
      </c>
      <c r="L36" s="26">
        <v>0</v>
      </c>
      <c r="M36" s="26">
        <v>0</v>
      </c>
      <c r="N36" s="47">
        <v>0</v>
      </c>
    </row>
    <row r="37" spans="1:14" ht="13.5" thickBot="1" x14ac:dyDescent="0.25">
      <c r="A37" s="31"/>
      <c r="B37" s="88" t="s">
        <v>12</v>
      </c>
      <c r="C37" s="56" t="s">
        <v>22</v>
      </c>
      <c r="D37" s="49" t="s">
        <v>22</v>
      </c>
      <c r="E37" s="49" t="s">
        <v>22</v>
      </c>
      <c r="F37" s="91">
        <f>F13+F20+F30+F34</f>
        <v>0</v>
      </c>
      <c r="G37" s="56" t="s">
        <v>22</v>
      </c>
      <c r="H37" s="49" t="s">
        <v>22</v>
      </c>
      <c r="I37" s="49" t="s">
        <v>22</v>
      </c>
      <c r="J37" s="91">
        <f>J13+J20+J30+J34</f>
        <v>0</v>
      </c>
      <c r="K37" s="56" t="s">
        <v>22</v>
      </c>
      <c r="L37" s="49" t="s">
        <v>22</v>
      </c>
      <c r="M37" s="49" t="s">
        <v>22</v>
      </c>
      <c r="N37" s="91">
        <f>N13+N20+N30+N34</f>
        <v>0</v>
      </c>
    </row>
  </sheetData>
  <mergeCells count="4">
    <mergeCell ref="C8:F8"/>
    <mergeCell ref="G8:J8"/>
    <mergeCell ref="K8:N8"/>
    <mergeCell ref="A1:H1"/>
  </mergeCells>
  <pageMargins left="0.70866141732283472" right="0.31496062992125984" top="0.74803149606299213" bottom="0.74803149606299213" header="0.31496062992125984" footer="0.31496062992125984"/>
  <pageSetup paperSize="9" scale="90" orientation="landscape" horizontalDpi="360" verticalDpi="36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tabColor rgb="FFFFFF00"/>
  </sheetPr>
  <dimension ref="A1:N28"/>
  <sheetViews>
    <sheetView zoomScaleNormal="100" workbookViewId="0">
      <selection activeCell="K9" sqref="K9"/>
    </sheetView>
  </sheetViews>
  <sheetFormatPr defaultRowHeight="12.75" x14ac:dyDescent="0.2"/>
  <cols>
    <col min="1" max="1" width="4" style="1" customWidth="1"/>
    <col min="2" max="2" width="22.140625" style="1" customWidth="1"/>
    <col min="3" max="3" width="9.85546875" style="1" customWidth="1"/>
    <col min="4" max="4" width="10.7109375" style="1" customWidth="1"/>
    <col min="5" max="5" width="10.28515625" style="1" customWidth="1"/>
    <col min="6" max="6" width="12.140625" style="1" customWidth="1"/>
    <col min="7" max="7" width="10.28515625" style="1" customWidth="1"/>
    <col min="8" max="8" width="10.42578125" style="1" customWidth="1"/>
    <col min="9" max="9" width="9.28515625" style="1" customWidth="1"/>
    <col min="10" max="10" width="10.5703125" style="1" customWidth="1"/>
    <col min="11" max="11" width="10.42578125" style="1" customWidth="1"/>
    <col min="12" max="12" width="10.85546875" style="1" customWidth="1"/>
    <col min="13" max="13" width="9.85546875" style="1" customWidth="1"/>
    <col min="14" max="14" width="10.7109375" style="1" customWidth="1"/>
    <col min="15" max="16384" width="9.140625" style="1"/>
  </cols>
  <sheetData>
    <row r="1" spans="1:14" ht="48" customHeight="1" x14ac:dyDescent="0.3">
      <c r="A1" s="208" t="s">
        <v>162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</row>
    <row r="2" spans="1:14" x14ac:dyDescent="0.2">
      <c r="A2" s="1" t="s">
        <v>65</v>
      </c>
    </row>
    <row r="4" spans="1:14" x14ac:dyDescent="0.2">
      <c r="A4" s="1" t="s">
        <v>66</v>
      </c>
    </row>
    <row r="6" spans="1:14" x14ac:dyDescent="0.2">
      <c r="A6" s="1" t="s">
        <v>159</v>
      </c>
    </row>
    <row r="7" spans="1:14" ht="13.5" thickBot="1" x14ac:dyDescent="0.25"/>
    <row r="8" spans="1:14" ht="15" customHeight="1" x14ac:dyDescent="0.2">
      <c r="C8" s="224" t="s">
        <v>235</v>
      </c>
      <c r="D8" s="225"/>
      <c r="E8" s="225"/>
      <c r="F8" s="226"/>
      <c r="G8" s="224" t="s">
        <v>250</v>
      </c>
      <c r="H8" s="225"/>
      <c r="I8" s="225"/>
      <c r="J8" s="226"/>
      <c r="K8" s="224" t="s">
        <v>257</v>
      </c>
      <c r="L8" s="225"/>
      <c r="M8" s="225"/>
      <c r="N8" s="226"/>
    </row>
    <row r="9" spans="1:14" ht="38.25" x14ac:dyDescent="0.2">
      <c r="A9" s="5" t="s">
        <v>2</v>
      </c>
      <c r="B9" s="29" t="s">
        <v>13</v>
      </c>
      <c r="C9" s="42" t="s">
        <v>117</v>
      </c>
      <c r="D9" s="5" t="s">
        <v>112</v>
      </c>
      <c r="E9" s="5" t="s">
        <v>118</v>
      </c>
      <c r="F9" s="43" t="s">
        <v>170</v>
      </c>
      <c r="G9" s="42" t="s">
        <v>117</v>
      </c>
      <c r="H9" s="5" t="s">
        <v>112</v>
      </c>
      <c r="I9" s="5" t="s">
        <v>118</v>
      </c>
      <c r="J9" s="43" t="s">
        <v>170</v>
      </c>
      <c r="K9" s="42" t="s">
        <v>117</v>
      </c>
      <c r="L9" s="5" t="s">
        <v>112</v>
      </c>
      <c r="M9" s="5" t="s">
        <v>118</v>
      </c>
      <c r="N9" s="43" t="s">
        <v>170</v>
      </c>
    </row>
    <row r="10" spans="1:14" x14ac:dyDescent="0.2">
      <c r="A10" s="5">
        <v>1</v>
      </c>
      <c r="B10" s="29">
        <v>2</v>
      </c>
      <c r="C10" s="42">
        <v>3</v>
      </c>
      <c r="D10" s="5">
        <v>4</v>
      </c>
      <c r="E10" s="5">
        <v>5</v>
      </c>
      <c r="F10" s="43">
        <v>6</v>
      </c>
      <c r="G10" s="42">
        <v>3</v>
      </c>
      <c r="H10" s="5">
        <v>4</v>
      </c>
      <c r="I10" s="5">
        <v>5</v>
      </c>
      <c r="J10" s="43">
        <v>6</v>
      </c>
      <c r="K10" s="42">
        <v>3</v>
      </c>
      <c r="L10" s="5">
        <v>4</v>
      </c>
      <c r="M10" s="5">
        <v>5</v>
      </c>
      <c r="N10" s="43">
        <v>6</v>
      </c>
    </row>
    <row r="11" spans="1:14" ht="25.5" x14ac:dyDescent="0.2">
      <c r="A11" s="3"/>
      <c r="B11" s="40" t="s">
        <v>116</v>
      </c>
      <c r="C11" s="89" t="s">
        <v>22</v>
      </c>
      <c r="D11" s="8" t="s">
        <v>22</v>
      </c>
      <c r="E11" s="8" t="s">
        <v>22</v>
      </c>
      <c r="F11" s="90" t="s">
        <v>22</v>
      </c>
      <c r="G11" s="89" t="s">
        <v>22</v>
      </c>
      <c r="H11" s="8" t="s">
        <v>22</v>
      </c>
      <c r="I11" s="8" t="s">
        <v>22</v>
      </c>
      <c r="J11" s="90" t="s">
        <v>22</v>
      </c>
      <c r="K11" s="89" t="s">
        <v>22</v>
      </c>
      <c r="L11" s="8" t="s">
        <v>22</v>
      </c>
      <c r="M11" s="8" t="s">
        <v>22</v>
      </c>
      <c r="N11" s="90" t="s">
        <v>22</v>
      </c>
    </row>
    <row r="12" spans="1:14" ht="24" customHeight="1" x14ac:dyDescent="0.2">
      <c r="A12" s="3"/>
      <c r="B12" s="40" t="s">
        <v>119</v>
      </c>
      <c r="C12" s="44"/>
      <c r="D12" s="26"/>
      <c r="E12" s="26"/>
      <c r="F12" s="78">
        <f>F13+F14+F25+F26+F27</f>
        <v>50000</v>
      </c>
      <c r="G12" s="44"/>
      <c r="H12" s="26"/>
      <c r="I12" s="26"/>
      <c r="J12" s="78">
        <f>J13+J14+J25+J26+J27</f>
        <v>50000</v>
      </c>
      <c r="K12" s="44"/>
      <c r="L12" s="26"/>
      <c r="M12" s="26"/>
      <c r="N12" s="78">
        <f>N13+N14+N25+N26+N27</f>
        <v>50000</v>
      </c>
    </row>
    <row r="13" spans="1:14" x14ac:dyDescent="0.2">
      <c r="A13" s="3"/>
      <c r="B13" s="40" t="s">
        <v>173</v>
      </c>
      <c r="C13" s="44" t="s">
        <v>146</v>
      </c>
      <c r="D13" s="26">
        <v>1500</v>
      </c>
      <c r="E13" s="26">
        <f>F13/D13</f>
        <v>8</v>
      </c>
      <c r="F13" s="47">
        <f>28000-16000</f>
        <v>12000</v>
      </c>
      <c r="G13" s="44" t="s">
        <v>146</v>
      </c>
      <c r="H13" s="26">
        <v>0</v>
      </c>
      <c r="I13" s="26">
        <v>0</v>
      </c>
      <c r="J13" s="47">
        <v>0</v>
      </c>
      <c r="K13" s="44" t="s">
        <v>146</v>
      </c>
      <c r="L13" s="26">
        <v>0</v>
      </c>
      <c r="M13" s="26">
        <v>0</v>
      </c>
      <c r="N13" s="47">
        <v>0</v>
      </c>
    </row>
    <row r="14" spans="1:14" x14ac:dyDescent="0.2">
      <c r="A14" s="3"/>
      <c r="B14" s="40" t="s">
        <v>203</v>
      </c>
      <c r="C14" s="44" t="s">
        <v>146</v>
      </c>
      <c r="D14" s="26">
        <v>0</v>
      </c>
      <c r="E14" s="26">
        <v>0</v>
      </c>
      <c r="F14" s="47">
        <v>0</v>
      </c>
      <c r="G14" s="44" t="s">
        <v>146</v>
      </c>
      <c r="H14" s="26">
        <v>366</v>
      </c>
      <c r="I14" s="26">
        <f>J14/H14</f>
        <v>136.61202185792351</v>
      </c>
      <c r="J14" s="47">
        <v>50000</v>
      </c>
      <c r="K14" s="44" t="s">
        <v>146</v>
      </c>
      <c r="L14" s="26">
        <v>366</v>
      </c>
      <c r="M14" s="26">
        <f>N14/L14</f>
        <v>136.61202185792351</v>
      </c>
      <c r="N14" s="47">
        <v>50000</v>
      </c>
    </row>
    <row r="15" spans="1:14" hidden="1" x14ac:dyDescent="0.2">
      <c r="A15" s="3"/>
      <c r="B15" s="40"/>
      <c r="C15" s="44" t="s">
        <v>146</v>
      </c>
      <c r="D15" s="26"/>
      <c r="E15" s="26">
        <v>0</v>
      </c>
      <c r="F15" s="47">
        <v>0</v>
      </c>
      <c r="G15" s="44" t="s">
        <v>146</v>
      </c>
      <c r="H15" s="26"/>
      <c r="I15" s="26">
        <v>0</v>
      </c>
      <c r="J15" s="47">
        <v>0</v>
      </c>
      <c r="K15" s="44" t="s">
        <v>146</v>
      </c>
      <c r="L15" s="26"/>
      <c r="M15" s="26">
        <v>0</v>
      </c>
      <c r="N15" s="47">
        <v>0</v>
      </c>
    </row>
    <row r="16" spans="1:14" hidden="1" x14ac:dyDescent="0.2">
      <c r="A16" s="3"/>
      <c r="B16" s="40"/>
      <c r="C16" s="44" t="s">
        <v>146</v>
      </c>
      <c r="D16" s="26"/>
      <c r="E16" s="26">
        <v>0</v>
      </c>
      <c r="F16" s="47">
        <v>0</v>
      </c>
      <c r="G16" s="44" t="s">
        <v>146</v>
      </c>
      <c r="H16" s="26"/>
      <c r="I16" s="26">
        <v>0</v>
      </c>
      <c r="J16" s="47">
        <v>0</v>
      </c>
      <c r="K16" s="44" t="s">
        <v>146</v>
      </c>
      <c r="L16" s="26"/>
      <c r="M16" s="26">
        <v>0</v>
      </c>
      <c r="N16" s="47">
        <v>0</v>
      </c>
    </row>
    <row r="17" spans="1:14" hidden="1" x14ac:dyDescent="0.2">
      <c r="A17" s="3"/>
      <c r="B17" s="40"/>
      <c r="C17" s="44" t="s">
        <v>146</v>
      </c>
      <c r="D17" s="26"/>
      <c r="E17" s="26">
        <v>0</v>
      </c>
      <c r="F17" s="47">
        <v>0</v>
      </c>
      <c r="G17" s="44" t="s">
        <v>146</v>
      </c>
      <c r="H17" s="26"/>
      <c r="I17" s="26">
        <v>0</v>
      </c>
      <c r="J17" s="47">
        <v>0</v>
      </c>
      <c r="K17" s="44" t="s">
        <v>146</v>
      </c>
      <c r="L17" s="26"/>
      <c r="M17" s="26">
        <v>0</v>
      </c>
      <c r="N17" s="47">
        <v>0</v>
      </c>
    </row>
    <row r="18" spans="1:14" hidden="1" x14ac:dyDescent="0.2">
      <c r="A18" s="3"/>
      <c r="B18" s="40"/>
      <c r="C18" s="44" t="s">
        <v>146</v>
      </c>
      <c r="D18" s="26"/>
      <c r="E18" s="26">
        <v>0</v>
      </c>
      <c r="F18" s="47">
        <v>0</v>
      </c>
      <c r="G18" s="44" t="s">
        <v>146</v>
      </c>
      <c r="H18" s="26"/>
      <c r="I18" s="26">
        <v>0</v>
      </c>
      <c r="J18" s="47">
        <v>0</v>
      </c>
      <c r="K18" s="44" t="s">
        <v>146</v>
      </c>
      <c r="L18" s="26"/>
      <c r="M18" s="26">
        <v>0</v>
      </c>
      <c r="N18" s="47">
        <v>0</v>
      </c>
    </row>
    <row r="19" spans="1:14" hidden="1" x14ac:dyDescent="0.2">
      <c r="A19" s="3"/>
      <c r="B19" s="40"/>
      <c r="C19" s="44" t="s">
        <v>146</v>
      </c>
      <c r="D19" s="26"/>
      <c r="E19" s="26">
        <v>0</v>
      </c>
      <c r="F19" s="47">
        <v>0</v>
      </c>
      <c r="G19" s="44" t="s">
        <v>146</v>
      </c>
      <c r="H19" s="26"/>
      <c r="I19" s="26">
        <v>0</v>
      </c>
      <c r="J19" s="47">
        <v>0</v>
      </c>
      <c r="K19" s="44" t="s">
        <v>146</v>
      </c>
      <c r="L19" s="26"/>
      <c r="M19" s="26">
        <v>0</v>
      </c>
      <c r="N19" s="47">
        <v>0</v>
      </c>
    </row>
    <row r="20" spans="1:14" hidden="1" x14ac:dyDescent="0.2">
      <c r="A20" s="3"/>
      <c r="B20" s="40"/>
      <c r="C20" s="44" t="s">
        <v>146</v>
      </c>
      <c r="D20" s="26"/>
      <c r="E20" s="26">
        <v>0</v>
      </c>
      <c r="F20" s="47">
        <v>0</v>
      </c>
      <c r="G20" s="44" t="s">
        <v>146</v>
      </c>
      <c r="H20" s="26"/>
      <c r="I20" s="26">
        <v>0</v>
      </c>
      <c r="J20" s="47">
        <v>0</v>
      </c>
      <c r="K20" s="44" t="s">
        <v>146</v>
      </c>
      <c r="L20" s="26"/>
      <c r="M20" s="26">
        <v>0</v>
      </c>
      <c r="N20" s="47">
        <v>0</v>
      </c>
    </row>
    <row r="21" spans="1:14" hidden="1" x14ac:dyDescent="0.2">
      <c r="A21" s="3"/>
      <c r="B21" s="40"/>
      <c r="C21" s="44" t="s">
        <v>146</v>
      </c>
      <c r="D21" s="26"/>
      <c r="E21" s="26">
        <v>0</v>
      </c>
      <c r="F21" s="47">
        <v>0</v>
      </c>
      <c r="G21" s="44" t="s">
        <v>146</v>
      </c>
      <c r="H21" s="26"/>
      <c r="I21" s="26">
        <v>0</v>
      </c>
      <c r="J21" s="47">
        <v>0</v>
      </c>
      <c r="K21" s="44" t="s">
        <v>146</v>
      </c>
      <c r="L21" s="26"/>
      <c r="M21" s="26">
        <v>0</v>
      </c>
      <c r="N21" s="47">
        <v>0</v>
      </c>
    </row>
    <row r="22" spans="1:14" hidden="1" x14ac:dyDescent="0.2">
      <c r="A22" s="3"/>
      <c r="B22" s="40"/>
      <c r="C22" s="44" t="s">
        <v>146</v>
      </c>
      <c r="D22" s="26"/>
      <c r="E22" s="26">
        <v>0</v>
      </c>
      <c r="F22" s="47">
        <v>0</v>
      </c>
      <c r="G22" s="44" t="s">
        <v>146</v>
      </c>
      <c r="H22" s="26"/>
      <c r="I22" s="26">
        <v>0</v>
      </c>
      <c r="J22" s="47">
        <v>0</v>
      </c>
      <c r="K22" s="44" t="s">
        <v>146</v>
      </c>
      <c r="L22" s="26"/>
      <c r="M22" s="26">
        <v>0</v>
      </c>
      <c r="N22" s="47">
        <v>0</v>
      </c>
    </row>
    <row r="23" spans="1:14" hidden="1" x14ac:dyDescent="0.2">
      <c r="A23" s="3"/>
      <c r="B23" s="40"/>
      <c r="C23" s="44" t="s">
        <v>146</v>
      </c>
      <c r="D23" s="26"/>
      <c r="E23" s="26">
        <v>0</v>
      </c>
      <c r="F23" s="47">
        <v>0</v>
      </c>
      <c r="G23" s="44" t="s">
        <v>146</v>
      </c>
      <c r="H23" s="26"/>
      <c r="I23" s="26">
        <v>0</v>
      </c>
      <c r="J23" s="47">
        <v>0</v>
      </c>
      <c r="K23" s="44" t="s">
        <v>146</v>
      </c>
      <c r="L23" s="26"/>
      <c r="M23" s="26">
        <v>0</v>
      </c>
      <c r="N23" s="47">
        <v>0</v>
      </c>
    </row>
    <row r="24" spans="1:14" hidden="1" x14ac:dyDescent="0.2">
      <c r="A24" s="3"/>
      <c r="B24" s="40"/>
      <c r="C24" s="44" t="s">
        <v>146</v>
      </c>
      <c r="D24" s="26"/>
      <c r="E24" s="26">
        <v>0</v>
      </c>
      <c r="F24" s="47">
        <v>0</v>
      </c>
      <c r="G24" s="44" t="s">
        <v>146</v>
      </c>
      <c r="H24" s="26"/>
      <c r="I24" s="26">
        <v>0</v>
      </c>
      <c r="J24" s="47">
        <v>0</v>
      </c>
      <c r="K24" s="44" t="s">
        <v>146</v>
      </c>
      <c r="L24" s="26"/>
      <c r="M24" s="26">
        <v>0</v>
      </c>
      <c r="N24" s="47">
        <v>0</v>
      </c>
    </row>
    <row r="25" spans="1:14" x14ac:dyDescent="0.2">
      <c r="A25" s="3"/>
      <c r="B25" s="40" t="s">
        <v>204</v>
      </c>
      <c r="C25" s="44" t="s">
        <v>146</v>
      </c>
      <c r="D25" s="110">
        <v>0</v>
      </c>
      <c r="E25" s="26">
        <v>0</v>
      </c>
      <c r="F25" s="47">
        <v>0</v>
      </c>
      <c r="G25" s="44" t="s">
        <v>146</v>
      </c>
      <c r="H25" s="110">
        <v>0</v>
      </c>
      <c r="I25" s="26">
        <v>0</v>
      </c>
      <c r="J25" s="47">
        <v>0</v>
      </c>
      <c r="K25" s="44" t="s">
        <v>146</v>
      </c>
      <c r="L25" s="110">
        <v>0</v>
      </c>
      <c r="M25" s="26">
        <v>0</v>
      </c>
      <c r="N25" s="47">
        <v>0</v>
      </c>
    </row>
    <row r="26" spans="1:14" x14ac:dyDescent="0.2">
      <c r="A26" s="3"/>
      <c r="B26" s="40" t="s">
        <v>205</v>
      </c>
      <c r="C26" s="44" t="s">
        <v>146</v>
      </c>
      <c r="D26" s="110">
        <v>200</v>
      </c>
      <c r="E26" s="26">
        <f>F26/D26</f>
        <v>190</v>
      </c>
      <c r="F26" s="47">
        <v>38000</v>
      </c>
      <c r="G26" s="44" t="s">
        <v>146</v>
      </c>
      <c r="H26" s="110">
        <v>0</v>
      </c>
      <c r="I26" s="26">
        <v>0</v>
      </c>
      <c r="J26" s="47">
        <v>0</v>
      </c>
      <c r="K26" s="44" t="s">
        <v>146</v>
      </c>
      <c r="L26" s="110">
        <v>0</v>
      </c>
      <c r="M26" s="26">
        <v>0</v>
      </c>
      <c r="N26" s="47">
        <v>0</v>
      </c>
    </row>
    <row r="27" spans="1:14" hidden="1" x14ac:dyDescent="0.2">
      <c r="A27" s="3"/>
      <c r="B27" s="40" t="s">
        <v>206</v>
      </c>
      <c r="C27" s="44" t="s">
        <v>146</v>
      </c>
      <c r="D27" s="110">
        <v>0</v>
      </c>
      <c r="E27" s="110">
        <v>0</v>
      </c>
      <c r="F27" s="111">
        <v>0</v>
      </c>
      <c r="G27" s="44" t="s">
        <v>146</v>
      </c>
      <c r="H27" s="110">
        <v>0</v>
      </c>
      <c r="I27" s="110">
        <v>0</v>
      </c>
      <c r="J27" s="111">
        <v>0</v>
      </c>
      <c r="K27" s="44" t="s">
        <v>146</v>
      </c>
      <c r="L27" s="110">
        <v>0</v>
      </c>
      <c r="M27" s="110">
        <v>0</v>
      </c>
      <c r="N27" s="111">
        <v>0</v>
      </c>
    </row>
    <row r="28" spans="1:14" ht="13.5" thickBot="1" x14ac:dyDescent="0.25">
      <c r="A28" s="31"/>
      <c r="B28" s="88" t="s">
        <v>12</v>
      </c>
      <c r="C28" s="56" t="s">
        <v>22</v>
      </c>
      <c r="D28" s="49" t="s">
        <v>22</v>
      </c>
      <c r="E28" s="49" t="s">
        <v>22</v>
      </c>
      <c r="F28" s="91">
        <f>F13+F14+F25+F26+F27</f>
        <v>50000</v>
      </c>
      <c r="G28" s="56" t="s">
        <v>22</v>
      </c>
      <c r="H28" s="49" t="s">
        <v>22</v>
      </c>
      <c r="I28" s="49" t="s">
        <v>22</v>
      </c>
      <c r="J28" s="91">
        <f>J13+J14+J25+J26+J27</f>
        <v>50000</v>
      </c>
      <c r="K28" s="56" t="s">
        <v>22</v>
      </c>
      <c r="L28" s="49" t="s">
        <v>22</v>
      </c>
      <c r="M28" s="49" t="s">
        <v>22</v>
      </c>
      <c r="N28" s="113">
        <f>N13+N14+N25+N26+N27</f>
        <v>50000</v>
      </c>
    </row>
  </sheetData>
  <mergeCells count="4">
    <mergeCell ref="C8:F8"/>
    <mergeCell ref="G8:J8"/>
    <mergeCell ref="K8:N8"/>
    <mergeCell ref="A1:K1"/>
  </mergeCells>
  <pageMargins left="0.70866141732283472" right="0.31496062992125984" top="0.74803149606299213" bottom="0.74803149606299213" header="0.31496062992125984" footer="0.31496062992125984"/>
  <pageSetup paperSize="9" scale="89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view="pageBreakPreview" topLeftCell="A4" zoomScale="80" zoomScaleNormal="100" zoomScaleSheetLayoutView="80" workbookViewId="0">
      <selection activeCell="D25" sqref="D25"/>
    </sheetView>
  </sheetViews>
  <sheetFormatPr defaultRowHeight="12.75" x14ac:dyDescent="0.2"/>
  <cols>
    <col min="1" max="1" width="10.42578125" style="1" customWidth="1"/>
    <col min="2" max="2" width="45" style="1" customWidth="1"/>
    <col min="3" max="3" width="19.5703125" style="1" customWidth="1"/>
    <col min="4" max="7" width="18.5703125" style="1" customWidth="1"/>
    <col min="8" max="8" width="19.28515625" style="96" customWidth="1"/>
    <col min="9" max="11" width="9.140625" style="1" customWidth="1"/>
    <col min="12" max="12" width="28.5703125" style="1" customWidth="1"/>
    <col min="13" max="13" width="16.85546875" style="1" customWidth="1"/>
    <col min="14" max="14" width="13.42578125" style="1" customWidth="1"/>
    <col min="15" max="16384" width="9.140625" style="1"/>
  </cols>
  <sheetData>
    <row r="1" spans="1:14" ht="40.5" customHeight="1" x14ac:dyDescent="0.3">
      <c r="A1" s="208" t="str">
        <f>'211 с'!A2:J2</f>
        <v>Расчеты (обоснования) к плану финансово-хозяйственной деятельности  МБДОУ г. Иркутска детский сад № 139</v>
      </c>
      <c r="B1" s="208"/>
      <c r="C1" s="208"/>
      <c r="D1" s="208"/>
      <c r="E1" s="208"/>
      <c r="F1" s="208"/>
      <c r="G1" s="208"/>
      <c r="H1" s="115"/>
      <c r="I1" s="100"/>
      <c r="J1" s="100"/>
      <c r="K1" s="100"/>
      <c r="L1" s="100"/>
      <c r="M1" s="100"/>
    </row>
    <row r="2" spans="1:14" x14ac:dyDescent="0.2">
      <c r="B2" s="1" t="s">
        <v>0</v>
      </c>
    </row>
    <row r="4" spans="1:14" ht="28.5" customHeight="1" x14ac:dyDescent="0.2">
      <c r="A4" s="207" t="s">
        <v>18</v>
      </c>
      <c r="B4" s="207"/>
      <c r="C4" s="207"/>
      <c r="D4" s="207"/>
      <c r="E4" s="147"/>
      <c r="F4" s="147"/>
      <c r="G4" s="147"/>
    </row>
    <row r="6" spans="1:14" ht="13.5" x14ac:dyDescent="0.25">
      <c r="A6" s="1" t="s">
        <v>159</v>
      </c>
      <c r="D6" s="24" t="s">
        <v>160</v>
      </c>
      <c r="E6" s="24"/>
      <c r="F6" s="24"/>
      <c r="G6" s="24"/>
    </row>
    <row r="7" spans="1:14" ht="13.5" x14ac:dyDescent="0.25">
      <c r="D7" s="24"/>
      <c r="E7" s="24"/>
      <c r="F7" s="24"/>
      <c r="G7" s="24"/>
    </row>
    <row r="8" spans="1:14" ht="13.5" x14ac:dyDescent="0.25">
      <c r="C8" s="160" t="s">
        <v>220</v>
      </c>
      <c r="D8" s="165">
        <v>2861000</v>
      </c>
      <c r="E8" s="172">
        <f>D8+D9</f>
        <v>4976000</v>
      </c>
      <c r="F8" s="173"/>
      <c r="G8" s="165">
        <v>2671000</v>
      </c>
      <c r="H8" s="131"/>
    </row>
    <row r="9" spans="1:14" x14ac:dyDescent="0.2">
      <c r="C9" s="160" t="s">
        <v>221</v>
      </c>
      <c r="D9" s="174">
        <v>2115000</v>
      </c>
      <c r="E9" s="175"/>
      <c r="F9" s="175"/>
      <c r="G9" s="174">
        <v>1796000</v>
      </c>
    </row>
    <row r="10" spans="1:14" ht="63" customHeight="1" x14ac:dyDescent="0.2">
      <c r="A10" s="8" t="s">
        <v>2</v>
      </c>
      <c r="B10" s="8" t="s">
        <v>19</v>
      </c>
      <c r="C10" s="8" t="s">
        <v>242</v>
      </c>
      <c r="D10" s="159" t="s">
        <v>177</v>
      </c>
      <c r="E10" s="159" t="s">
        <v>215</v>
      </c>
      <c r="F10" s="8" t="s">
        <v>241</v>
      </c>
      <c r="G10" s="159" t="s">
        <v>240</v>
      </c>
      <c r="H10" s="116"/>
    </row>
    <row r="11" spans="1:14" x14ac:dyDescent="0.2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</row>
    <row r="12" spans="1:14" ht="25.5" x14ac:dyDescent="0.2">
      <c r="A12" s="3" t="s">
        <v>30</v>
      </c>
      <c r="B12" s="7" t="s">
        <v>21</v>
      </c>
      <c r="C12" s="27" t="s">
        <v>22</v>
      </c>
      <c r="D12" s="27" t="s">
        <v>22</v>
      </c>
      <c r="E12" s="27" t="s">
        <v>22</v>
      </c>
      <c r="F12" s="27" t="s">
        <v>22</v>
      </c>
      <c r="G12" s="27" t="s">
        <v>22</v>
      </c>
      <c r="H12" s="117"/>
      <c r="I12" s="158"/>
    </row>
    <row r="13" spans="1:14" x14ac:dyDescent="0.2">
      <c r="A13" s="9" t="s">
        <v>23</v>
      </c>
      <c r="B13" s="3" t="s">
        <v>24</v>
      </c>
      <c r="C13" s="26">
        <v>16476999.999408001</v>
      </c>
      <c r="D13" s="26">
        <v>3624940</v>
      </c>
      <c r="E13" s="26">
        <v>3624940</v>
      </c>
      <c r="F13" s="26">
        <v>14791999.999496799</v>
      </c>
      <c r="G13" s="26">
        <v>3254240</v>
      </c>
      <c r="J13" s="10"/>
      <c r="N13" s="118"/>
    </row>
    <row r="14" spans="1:14" x14ac:dyDescent="0.2">
      <c r="A14" s="3" t="s">
        <v>25</v>
      </c>
      <c r="B14" s="3" t="s">
        <v>26</v>
      </c>
      <c r="C14" s="26"/>
      <c r="D14" s="26"/>
      <c r="E14" s="2"/>
      <c r="F14" s="2"/>
      <c r="G14" s="26"/>
    </row>
    <row r="15" spans="1:14" ht="39" customHeight="1" x14ac:dyDescent="0.2">
      <c r="A15" s="3" t="s">
        <v>27</v>
      </c>
      <c r="B15" s="3" t="s">
        <v>28</v>
      </c>
      <c r="C15" s="26"/>
      <c r="D15" s="26"/>
      <c r="E15" s="2"/>
      <c r="F15" s="2"/>
      <c r="G15" s="26"/>
    </row>
    <row r="16" spans="1:14" ht="25.5" x14ac:dyDescent="0.2">
      <c r="A16" s="3" t="s">
        <v>29</v>
      </c>
      <c r="B16" s="7" t="s">
        <v>31</v>
      </c>
      <c r="C16" s="27" t="s">
        <v>22</v>
      </c>
      <c r="D16" s="27" t="s">
        <v>22</v>
      </c>
      <c r="E16" s="2"/>
      <c r="F16" s="2"/>
      <c r="G16" s="27" t="s">
        <v>22</v>
      </c>
    </row>
    <row r="17" spans="1:14" ht="38.25" x14ac:dyDescent="0.2">
      <c r="A17" s="3" t="s">
        <v>32</v>
      </c>
      <c r="B17" s="3" t="s">
        <v>33</v>
      </c>
      <c r="C17" s="26">
        <v>16476999.999408001</v>
      </c>
      <c r="D17" s="26">
        <v>477833</v>
      </c>
      <c r="E17" s="20">
        <v>477833</v>
      </c>
      <c r="F17" s="20">
        <v>14791999.999496799</v>
      </c>
      <c r="G17" s="26">
        <v>428968</v>
      </c>
    </row>
    <row r="18" spans="1:14" ht="25.5" x14ac:dyDescent="0.2">
      <c r="A18" s="3" t="s">
        <v>34</v>
      </c>
      <c r="B18" s="3" t="s">
        <v>35</v>
      </c>
      <c r="C18" s="26"/>
      <c r="D18" s="26"/>
      <c r="E18" s="2"/>
      <c r="F18" s="2"/>
      <c r="G18" s="26"/>
    </row>
    <row r="19" spans="1:14" ht="38.25" x14ac:dyDescent="0.2">
      <c r="A19" s="3" t="s">
        <v>36</v>
      </c>
      <c r="B19" s="3" t="s">
        <v>37</v>
      </c>
      <c r="C19" s="26">
        <v>16476999.999408001</v>
      </c>
      <c r="D19" s="26">
        <v>32954</v>
      </c>
      <c r="E19" s="20">
        <v>32954</v>
      </c>
      <c r="F19" s="20">
        <v>14791999.999496799</v>
      </c>
      <c r="G19" s="26">
        <v>29584</v>
      </c>
    </row>
    <row r="20" spans="1:14" ht="38.25" x14ac:dyDescent="0.2">
      <c r="A20" s="3" t="s">
        <v>38</v>
      </c>
      <c r="B20" s="3" t="s">
        <v>40</v>
      </c>
      <c r="C20" s="26"/>
      <c r="D20" s="26"/>
      <c r="E20" s="2"/>
      <c r="F20" s="2"/>
      <c r="G20" s="26"/>
    </row>
    <row r="21" spans="1:14" ht="38.25" x14ac:dyDescent="0.2">
      <c r="A21" s="3" t="s">
        <v>39</v>
      </c>
      <c r="B21" s="3" t="s">
        <v>40</v>
      </c>
      <c r="C21" s="26"/>
      <c r="D21" s="26"/>
      <c r="E21" s="2"/>
      <c r="F21" s="2"/>
      <c r="G21" s="26"/>
    </row>
    <row r="22" spans="1:14" ht="38.25" x14ac:dyDescent="0.2">
      <c r="A22" s="3" t="s">
        <v>41</v>
      </c>
      <c r="B22" s="7" t="s">
        <v>42</v>
      </c>
      <c r="C22" s="26">
        <v>16476999.999408001</v>
      </c>
      <c r="D22" s="26">
        <v>840273</v>
      </c>
      <c r="E22" s="20">
        <v>840273</v>
      </c>
      <c r="F22" s="20">
        <v>14791999.999496799</v>
      </c>
      <c r="G22" s="26">
        <v>754208</v>
      </c>
    </row>
    <row r="23" spans="1:14" s="6" customFormat="1" x14ac:dyDescent="0.2">
      <c r="A23" s="23"/>
      <c r="B23" s="22" t="s">
        <v>12</v>
      </c>
      <c r="C23" s="34">
        <f>C22</f>
        <v>16476999.999408001</v>
      </c>
      <c r="D23" s="34">
        <f>D13+D17+D19+D22</f>
        <v>4976000</v>
      </c>
      <c r="E23" s="34">
        <f>E13+E17+E19+E22</f>
        <v>4976000</v>
      </c>
      <c r="F23" s="34">
        <f>F13</f>
        <v>14791999.999496799</v>
      </c>
      <c r="G23" s="34">
        <f>G13+G17+G19+G22</f>
        <v>4467000</v>
      </c>
      <c r="H23" s="98"/>
      <c r="N23" s="119"/>
    </row>
    <row r="24" spans="1:14" x14ac:dyDescent="0.2">
      <c r="A24" s="11"/>
      <c r="B24" s="11"/>
      <c r="C24" s="93"/>
      <c r="D24" s="11"/>
      <c r="E24" s="11"/>
      <c r="F24" s="11"/>
      <c r="G24" s="11"/>
    </row>
    <row r="25" spans="1:14" x14ac:dyDescent="0.2">
      <c r="A25" s="11"/>
      <c r="B25" s="11"/>
      <c r="C25" s="11"/>
      <c r="D25" s="93"/>
      <c r="E25" s="93"/>
      <c r="F25" s="93"/>
      <c r="G25" s="157"/>
    </row>
    <row r="26" spans="1:14" x14ac:dyDescent="0.2">
      <c r="A26" s="11"/>
      <c r="B26" s="11"/>
      <c r="C26" s="11"/>
      <c r="D26" s="11"/>
      <c r="E26" s="11"/>
      <c r="F26" s="11"/>
      <c r="G26" s="11"/>
    </row>
    <row r="27" spans="1:14" x14ac:dyDescent="0.2">
      <c r="A27" s="11"/>
      <c r="B27" s="11"/>
      <c r="C27" s="11"/>
      <c r="D27" s="11"/>
      <c r="E27" s="11"/>
      <c r="F27" s="11"/>
      <c r="G27" s="11"/>
    </row>
    <row r="28" spans="1:14" x14ac:dyDescent="0.2">
      <c r="A28" s="11"/>
      <c r="B28" s="11"/>
      <c r="C28" s="11"/>
      <c r="D28" s="11"/>
      <c r="E28" s="11"/>
      <c r="F28" s="11"/>
      <c r="G28" s="11"/>
    </row>
    <row r="29" spans="1:14" x14ac:dyDescent="0.2">
      <c r="A29" s="11"/>
      <c r="B29" s="11"/>
      <c r="C29" s="11"/>
      <c r="D29" s="11"/>
      <c r="E29" s="11"/>
      <c r="F29" s="11"/>
      <c r="G29" s="11"/>
    </row>
    <row r="30" spans="1:14" x14ac:dyDescent="0.2">
      <c r="A30" s="12"/>
      <c r="B30" s="12"/>
      <c r="C30" s="12"/>
      <c r="D30" s="12"/>
      <c r="E30" s="12"/>
      <c r="F30" s="12"/>
      <c r="G30" s="12"/>
    </row>
  </sheetData>
  <mergeCells count="2">
    <mergeCell ref="A4:D4"/>
    <mergeCell ref="A1:G1"/>
  </mergeCells>
  <pageMargins left="0.51181102362204722" right="0.31496062992125984" top="0.74803149606299213" bottom="0.74803149606299213" header="0.31496062992125984" footer="0.31496062992125984"/>
  <pageSetup paperSize="9" scale="6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view="pageBreakPreview" zoomScaleNormal="100" zoomScaleSheetLayoutView="100" workbookViewId="0">
      <selection activeCell="A3" sqref="A3"/>
    </sheetView>
  </sheetViews>
  <sheetFormatPr defaultRowHeight="12.75" x14ac:dyDescent="0.2"/>
  <cols>
    <col min="1" max="1" width="9.140625" style="1"/>
    <col min="2" max="2" width="24.140625" style="1" customWidth="1"/>
    <col min="3" max="3" width="16.7109375" style="1" customWidth="1"/>
    <col min="4" max="4" width="16.28515625" style="1" customWidth="1"/>
    <col min="5" max="5" width="16.85546875" style="1" customWidth="1"/>
    <col min="6" max="6" width="14.85546875" style="1" customWidth="1"/>
    <col min="7" max="7" width="14.5703125" style="1" customWidth="1"/>
    <col min="8" max="8" width="14.42578125" style="1" customWidth="1"/>
    <col min="9" max="9" width="8.85546875" style="1" customWidth="1"/>
    <col min="10" max="16384" width="9.140625" style="1"/>
  </cols>
  <sheetData>
    <row r="1" spans="1:9" ht="47.25" customHeight="1" x14ac:dyDescent="0.3">
      <c r="A1" s="209" t="str">
        <f>'211 с'!A2:J2</f>
        <v>Расчеты (обоснования) к плану финансово-хозяйственной деятельности  МБДОУ г. Иркутска детский сад № 139</v>
      </c>
      <c r="B1" s="209"/>
      <c r="C1" s="209"/>
      <c r="D1" s="209"/>
      <c r="E1" s="209"/>
      <c r="F1" s="209"/>
      <c r="G1" s="209"/>
      <c r="H1" s="209"/>
      <c r="I1" s="209"/>
    </row>
    <row r="2" spans="1:9" ht="26.25" customHeight="1" x14ac:dyDescent="0.2">
      <c r="A2" s="1" t="s">
        <v>207</v>
      </c>
    </row>
    <row r="4" spans="1:9" x14ac:dyDescent="0.2">
      <c r="A4" s="6" t="s">
        <v>17</v>
      </c>
    </row>
    <row r="6" spans="1:9" x14ac:dyDescent="0.2">
      <c r="A6" s="6" t="s">
        <v>157</v>
      </c>
    </row>
    <row r="8" spans="1:9" ht="34.5" customHeight="1" x14ac:dyDescent="0.2">
      <c r="B8" s="210" t="s">
        <v>208</v>
      </c>
      <c r="C8" s="210"/>
      <c r="D8" s="210"/>
      <c r="E8" s="210"/>
      <c r="F8" s="162" t="s">
        <v>158</v>
      </c>
    </row>
    <row r="9" spans="1:9" x14ac:dyDescent="0.2">
      <c r="F9" s="161">
        <f>F14</f>
        <v>0</v>
      </c>
    </row>
    <row r="10" spans="1:9" ht="44.25" customHeight="1" x14ac:dyDescent="0.2">
      <c r="A10" s="5" t="s">
        <v>2</v>
      </c>
      <c r="B10" s="5" t="s">
        <v>13</v>
      </c>
      <c r="C10" s="5" t="s">
        <v>153</v>
      </c>
      <c r="D10" s="5" t="s">
        <v>14</v>
      </c>
      <c r="E10" s="5" t="s">
        <v>15</v>
      </c>
      <c r="F10" s="8" t="s">
        <v>245</v>
      </c>
      <c r="G10" s="8" t="s">
        <v>244</v>
      </c>
      <c r="H10" s="8" t="s">
        <v>243</v>
      </c>
    </row>
    <row r="11" spans="1:9" x14ac:dyDescent="0.2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</row>
    <row r="12" spans="1:9" ht="25.5" x14ac:dyDescent="0.2">
      <c r="A12" s="5">
        <v>1</v>
      </c>
      <c r="B12" s="5" t="s">
        <v>209</v>
      </c>
      <c r="C12" s="140"/>
      <c r="D12" s="141"/>
      <c r="E12" s="142"/>
      <c r="F12" s="142">
        <v>0</v>
      </c>
      <c r="G12" s="142">
        <v>0</v>
      </c>
      <c r="H12" s="142">
        <f>E12*F12*G12</f>
        <v>0</v>
      </c>
    </row>
    <row r="13" spans="1:9" ht="39" customHeight="1" x14ac:dyDescent="0.2">
      <c r="A13" s="5">
        <v>2</v>
      </c>
      <c r="B13" s="5" t="s">
        <v>210</v>
      </c>
      <c r="C13" s="3"/>
      <c r="D13" s="3"/>
      <c r="E13" s="3"/>
      <c r="F13" s="142">
        <v>0</v>
      </c>
      <c r="G13" s="142">
        <v>0</v>
      </c>
      <c r="H13" s="142">
        <v>0</v>
      </c>
    </row>
    <row r="14" spans="1:9" s="25" customFormat="1" x14ac:dyDescent="0.2">
      <c r="A14" s="31"/>
      <c r="B14" s="33" t="s">
        <v>12</v>
      </c>
      <c r="C14" s="120">
        <f>SUM(C12:C12)</f>
        <v>0</v>
      </c>
      <c r="D14" s="121">
        <f>SUM(D12:D12)</f>
        <v>0</v>
      </c>
      <c r="E14" s="33">
        <f>SUM(E12:E12)</f>
        <v>0</v>
      </c>
      <c r="F14" s="143">
        <f>SUM(F12:F13)</f>
        <v>0</v>
      </c>
      <c r="G14" s="33">
        <f>SUM(G12:G12)</f>
        <v>0</v>
      </c>
      <c r="H14" s="33">
        <f>SUM(H12:H12)</f>
        <v>0</v>
      </c>
    </row>
  </sheetData>
  <mergeCells count="2">
    <mergeCell ref="A1:I1"/>
    <mergeCell ref="B8:E8"/>
  </mergeCells>
  <pageMargins left="0.7" right="0.7" top="0.75" bottom="0.75" header="0.3" footer="0.3"/>
  <pageSetup paperSize="9" scale="50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8"/>
  <sheetViews>
    <sheetView view="pageBreakPreview" zoomScaleNormal="100" zoomScaleSheetLayoutView="100" workbookViewId="0">
      <selection activeCell="J11" sqref="J11"/>
    </sheetView>
  </sheetViews>
  <sheetFormatPr defaultRowHeight="12.75" x14ac:dyDescent="0.2"/>
  <cols>
    <col min="1" max="1" width="6.7109375" style="1" customWidth="1"/>
    <col min="2" max="2" width="14.7109375" style="1" customWidth="1"/>
    <col min="3" max="3" width="11.5703125" style="1" customWidth="1"/>
    <col min="4" max="4" width="19" style="1" customWidth="1"/>
    <col min="5" max="5" width="13" style="1" customWidth="1"/>
    <col min="6" max="6" width="12.5703125" style="1" customWidth="1"/>
    <col min="7" max="7" width="17.42578125" style="1" customWidth="1"/>
    <col min="8" max="8" width="13.85546875" style="1" customWidth="1"/>
    <col min="9" max="9" width="13" style="1" customWidth="1"/>
    <col min="10" max="10" width="15.85546875" style="1" customWidth="1"/>
    <col min="11" max="11" width="13.28515625" style="1" customWidth="1"/>
    <col min="12" max="12" width="13.140625" style="1" customWidth="1"/>
    <col min="13" max="16384" width="9.140625" style="1"/>
  </cols>
  <sheetData>
    <row r="2" spans="1:12" s="17" customFormat="1" ht="45.75" customHeight="1" x14ac:dyDescent="0.3">
      <c r="A2" s="215" t="str">
        <f>'211 с'!A2:J2</f>
        <v>Расчеты (обоснования) к плану финансово-хозяйственной деятельности  МБДОУ г. Иркутска детский сад № 139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</row>
    <row r="4" spans="1:12" x14ac:dyDescent="0.2">
      <c r="A4" s="1" t="s">
        <v>0</v>
      </c>
    </row>
    <row r="6" spans="1:12" x14ac:dyDescent="0.2">
      <c r="A6" s="1" t="s">
        <v>222</v>
      </c>
      <c r="E6" s="122"/>
    </row>
    <row r="8" spans="1:12" x14ac:dyDescent="0.2">
      <c r="A8" s="1" t="s">
        <v>155</v>
      </c>
    </row>
    <row r="10" spans="1:12" s="18" customFormat="1" ht="13.5" x14ac:dyDescent="0.25">
      <c r="A10" s="18" t="s">
        <v>1</v>
      </c>
      <c r="J10" s="24" t="s">
        <v>158</v>
      </c>
    </row>
    <row r="11" spans="1:12" x14ac:dyDescent="0.2">
      <c r="J11" s="123">
        <v>171000</v>
      </c>
    </row>
    <row r="12" spans="1:12" ht="12.75" customHeight="1" x14ac:dyDescent="0.2">
      <c r="A12" s="25"/>
      <c r="B12" s="25"/>
      <c r="C12" s="25"/>
      <c r="D12" s="218" t="s">
        <v>9</v>
      </c>
      <c r="E12" s="219"/>
      <c r="F12" s="219"/>
      <c r="G12" s="220"/>
      <c r="H12" s="221" t="s">
        <v>10</v>
      </c>
      <c r="I12" s="212" t="s">
        <v>11</v>
      </c>
      <c r="J12" s="211" t="s">
        <v>248</v>
      </c>
      <c r="K12" s="211" t="s">
        <v>247</v>
      </c>
      <c r="L12" s="211" t="s">
        <v>246</v>
      </c>
    </row>
    <row r="13" spans="1:12" ht="12.75" customHeight="1" x14ac:dyDescent="0.2">
      <c r="A13" s="25"/>
      <c r="B13" s="25"/>
      <c r="C13" s="25"/>
      <c r="D13" s="212" t="s">
        <v>178</v>
      </c>
      <c r="E13" s="218" t="s">
        <v>4</v>
      </c>
      <c r="F13" s="219"/>
      <c r="G13" s="220"/>
      <c r="H13" s="222"/>
      <c r="I13" s="213"/>
      <c r="J13" s="211"/>
      <c r="K13" s="211"/>
      <c r="L13" s="211"/>
    </row>
    <row r="14" spans="1:12" ht="51" customHeight="1" x14ac:dyDescent="0.2">
      <c r="A14" s="4" t="s">
        <v>2</v>
      </c>
      <c r="B14" s="5" t="s">
        <v>3</v>
      </c>
      <c r="C14" s="29" t="s">
        <v>211</v>
      </c>
      <c r="D14" s="214"/>
      <c r="E14" s="151" t="s">
        <v>6</v>
      </c>
      <c r="F14" s="151" t="s">
        <v>7</v>
      </c>
      <c r="G14" s="151" t="s">
        <v>8</v>
      </c>
      <c r="H14" s="223"/>
      <c r="I14" s="214"/>
      <c r="J14" s="211"/>
      <c r="K14" s="211"/>
      <c r="L14" s="211"/>
    </row>
    <row r="15" spans="1:12" x14ac:dyDescent="0.2">
      <c r="A15" s="4">
        <v>1</v>
      </c>
      <c r="B15" s="4">
        <v>2</v>
      </c>
      <c r="C15" s="4">
        <v>3</v>
      </c>
      <c r="D15" s="4">
        <v>4</v>
      </c>
      <c r="E15" s="4">
        <v>5</v>
      </c>
      <c r="F15" s="4">
        <v>6</v>
      </c>
      <c r="G15" s="4">
        <v>7</v>
      </c>
      <c r="H15" s="4">
        <v>8</v>
      </c>
      <c r="I15" s="4">
        <v>9</v>
      </c>
      <c r="J15" s="4">
        <v>10</v>
      </c>
      <c r="K15" s="4">
        <v>11</v>
      </c>
      <c r="L15" s="4">
        <v>12</v>
      </c>
    </row>
    <row r="16" spans="1:12" ht="30.75" customHeight="1" x14ac:dyDescent="0.2">
      <c r="A16" s="2"/>
      <c r="B16" s="101" t="s">
        <v>212</v>
      </c>
      <c r="C16" s="144">
        <v>4</v>
      </c>
      <c r="D16" s="163">
        <f>J11/12/C16</f>
        <v>3562.5</v>
      </c>
      <c r="E16" s="163">
        <f>D16-I16</f>
        <v>2226.5625</v>
      </c>
      <c r="F16" s="163"/>
      <c r="G16" s="163"/>
      <c r="H16" s="163"/>
      <c r="I16" s="124">
        <f>D16-(D16/1.6)</f>
        <v>1335.9375</v>
      </c>
      <c r="J16" s="124">
        <f>$D$16*12*$C$16</f>
        <v>171000</v>
      </c>
      <c r="K16" s="124">
        <f>J16</f>
        <v>171000</v>
      </c>
      <c r="L16" s="124">
        <f>K16</f>
        <v>171000</v>
      </c>
    </row>
    <row r="17" spans="1:12" s="6" customFormat="1" x14ac:dyDescent="0.2">
      <c r="A17" s="216" t="s">
        <v>12</v>
      </c>
      <c r="B17" s="217"/>
      <c r="C17" s="30">
        <f t="shared" ref="C17:L17" si="0">SUM(C16:C16)</f>
        <v>4</v>
      </c>
      <c r="D17" s="92">
        <f t="shared" si="0"/>
        <v>3562.5</v>
      </c>
      <c r="E17" s="92">
        <f t="shared" si="0"/>
        <v>2226.5625</v>
      </c>
      <c r="F17" s="92">
        <f t="shared" si="0"/>
        <v>0</v>
      </c>
      <c r="G17" s="92">
        <f t="shared" si="0"/>
        <v>0</v>
      </c>
      <c r="H17" s="92">
        <f t="shared" si="0"/>
        <v>0</v>
      </c>
      <c r="I17" s="92">
        <f t="shared" si="0"/>
        <v>1335.9375</v>
      </c>
      <c r="J17" s="92">
        <f t="shared" si="0"/>
        <v>171000</v>
      </c>
      <c r="K17" s="92">
        <f t="shared" si="0"/>
        <v>171000</v>
      </c>
      <c r="L17" s="92">
        <f t="shared" si="0"/>
        <v>171000</v>
      </c>
    </row>
    <row r="18" spans="1:12" x14ac:dyDescent="0.2">
      <c r="J18" s="36">
        <f>J11-J17</f>
        <v>0</v>
      </c>
      <c r="K18" s="1" t="s">
        <v>213</v>
      </c>
    </row>
  </sheetData>
  <mergeCells count="10">
    <mergeCell ref="L12:L14"/>
    <mergeCell ref="I12:I14"/>
    <mergeCell ref="J12:J14"/>
    <mergeCell ref="A2:K2"/>
    <mergeCell ref="A17:B17"/>
    <mergeCell ref="E13:G13"/>
    <mergeCell ref="D13:D14"/>
    <mergeCell ref="D12:G12"/>
    <mergeCell ref="H12:H14"/>
    <mergeCell ref="K12:K14"/>
  </mergeCells>
  <pageMargins left="0.51181102362204722" right="0.31496062992125984" top="0.35433070866141736" bottom="0.35433070866141736" header="0.31496062992125984" footer="0.31496062992125984"/>
  <pageSetup paperSize="9" scale="84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view="pageBreakPreview" zoomScale="90" zoomScaleNormal="100" zoomScaleSheetLayoutView="90" workbookViewId="0">
      <pane xSplit="1" ySplit="8" topLeftCell="B15" activePane="bottomRight" state="frozen"/>
      <selection activeCell="A3" sqref="A3"/>
      <selection pane="topRight" activeCell="A3" sqref="A3"/>
      <selection pane="bottomLeft" activeCell="A3" sqref="A3"/>
      <selection pane="bottomRight" activeCell="D7" sqref="D7"/>
    </sheetView>
  </sheetViews>
  <sheetFormatPr defaultRowHeight="12.75" x14ac:dyDescent="0.2"/>
  <cols>
    <col min="1" max="1" width="7.7109375" style="1" customWidth="1"/>
    <col min="2" max="2" width="45" style="1" customWidth="1"/>
    <col min="3" max="3" width="16.28515625" style="1" customWidth="1"/>
    <col min="4" max="4" width="15.5703125" style="1" customWidth="1"/>
    <col min="5" max="5" width="14.28515625" style="1" customWidth="1"/>
    <col min="6" max="6" width="15.42578125" style="1" customWidth="1"/>
    <col min="7" max="7" width="9.85546875" style="96" customWidth="1"/>
    <col min="8" max="12" width="9.140625" style="1" hidden="1" customWidth="1"/>
    <col min="13" max="16384" width="9.140625" style="1"/>
  </cols>
  <sheetData>
    <row r="1" spans="1:12" ht="55.5" customHeight="1" x14ac:dyDescent="0.2">
      <c r="A1" s="215" t="str">
        <f>'211 с'!A2:J2</f>
        <v>Расчеты (обоснования) к плану финансово-хозяйственной деятельности  МБДОУ г. Иркутска детский сад № 139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</row>
    <row r="2" spans="1:12" x14ac:dyDescent="0.2">
      <c r="B2" s="1" t="s">
        <v>0</v>
      </c>
    </row>
    <row r="4" spans="1:12" ht="32.25" customHeight="1" x14ac:dyDescent="0.2">
      <c r="A4" s="207" t="s">
        <v>18</v>
      </c>
      <c r="B4" s="207"/>
      <c r="C4" s="207"/>
      <c r="D4" s="207"/>
      <c r="E4" s="147"/>
      <c r="F4" s="147"/>
    </row>
    <row r="6" spans="1:12" x14ac:dyDescent="0.2">
      <c r="A6" s="1" t="s">
        <v>155</v>
      </c>
      <c r="D6" s="125" t="s">
        <v>158</v>
      </c>
    </row>
    <row r="7" spans="1:12" x14ac:dyDescent="0.2">
      <c r="D7" s="123">
        <v>51600</v>
      </c>
      <c r="E7" s="145"/>
    </row>
    <row r="8" spans="1:12" ht="60" customHeight="1" x14ac:dyDescent="0.2">
      <c r="A8" s="5" t="s">
        <v>2</v>
      </c>
      <c r="B8" s="5" t="s">
        <v>19</v>
      </c>
      <c r="C8" s="5" t="s">
        <v>20</v>
      </c>
      <c r="D8" s="159" t="s">
        <v>179</v>
      </c>
      <c r="E8" s="159" t="s">
        <v>216</v>
      </c>
      <c r="F8" s="159" t="s">
        <v>249</v>
      </c>
      <c r="G8" s="114"/>
    </row>
    <row r="9" spans="1:12" x14ac:dyDescent="0.2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</row>
    <row r="10" spans="1:12" ht="25.5" x14ac:dyDescent="0.2">
      <c r="A10" s="3" t="s">
        <v>30</v>
      </c>
      <c r="B10" s="7" t="s">
        <v>21</v>
      </c>
      <c r="C10" s="27" t="s">
        <v>22</v>
      </c>
      <c r="D10" s="27" t="s">
        <v>22</v>
      </c>
      <c r="E10" s="27" t="s">
        <v>22</v>
      </c>
      <c r="F10" s="27" t="s">
        <v>22</v>
      </c>
    </row>
    <row r="11" spans="1:12" x14ac:dyDescent="0.2">
      <c r="A11" s="9" t="s">
        <v>23</v>
      </c>
      <c r="B11" s="3" t="s">
        <v>24</v>
      </c>
      <c r="C11" s="26">
        <f>'211 б'!J16</f>
        <v>171000</v>
      </c>
      <c r="D11" s="26">
        <f>C11*22%</f>
        <v>37620</v>
      </c>
      <c r="E11" s="26">
        <f>D11</f>
        <v>37620</v>
      </c>
      <c r="F11" s="26">
        <f>E11</f>
        <v>37620</v>
      </c>
      <c r="I11" s="10"/>
    </row>
    <row r="12" spans="1:12" x14ac:dyDescent="0.2">
      <c r="A12" s="3" t="s">
        <v>25</v>
      </c>
      <c r="B12" s="3" t="s">
        <v>26</v>
      </c>
      <c r="C12" s="26"/>
      <c r="D12" s="26"/>
      <c r="E12" s="26"/>
      <c r="F12" s="26"/>
    </row>
    <row r="13" spans="1:12" ht="39" customHeight="1" x14ac:dyDescent="0.2">
      <c r="A13" s="3" t="s">
        <v>27</v>
      </c>
      <c r="B13" s="3" t="s">
        <v>28</v>
      </c>
      <c r="C13" s="26"/>
      <c r="D13" s="26"/>
      <c r="E13" s="26"/>
      <c r="F13" s="26"/>
    </row>
    <row r="14" spans="1:12" ht="25.5" x14ac:dyDescent="0.2">
      <c r="A14" s="3" t="s">
        <v>29</v>
      </c>
      <c r="B14" s="7" t="s">
        <v>31</v>
      </c>
      <c r="C14" s="27" t="s">
        <v>22</v>
      </c>
      <c r="D14" s="27" t="s">
        <v>22</v>
      </c>
      <c r="E14" s="27" t="s">
        <v>22</v>
      </c>
      <c r="F14" s="27" t="s">
        <v>22</v>
      </c>
    </row>
    <row r="15" spans="1:12" ht="38.25" x14ac:dyDescent="0.2">
      <c r="A15" s="3" t="s">
        <v>32</v>
      </c>
      <c r="B15" s="3" t="s">
        <v>33</v>
      </c>
      <c r="C15" s="26">
        <f>C11</f>
        <v>171000</v>
      </c>
      <c r="D15" s="26">
        <f>C15*2.9%-42</f>
        <v>4917</v>
      </c>
      <c r="E15" s="26">
        <f>D15</f>
        <v>4917</v>
      </c>
      <c r="F15" s="26">
        <f>E15</f>
        <v>4917</v>
      </c>
    </row>
    <row r="16" spans="1:12" ht="25.5" x14ac:dyDescent="0.2">
      <c r="A16" s="3" t="s">
        <v>34</v>
      </c>
      <c r="B16" s="3" t="s">
        <v>35</v>
      </c>
      <c r="C16" s="26"/>
      <c r="D16" s="26"/>
      <c r="E16" s="26"/>
      <c r="F16" s="26"/>
    </row>
    <row r="17" spans="1:7" ht="38.25" x14ac:dyDescent="0.2">
      <c r="A17" s="3" t="s">
        <v>36</v>
      </c>
      <c r="B17" s="3" t="s">
        <v>37</v>
      </c>
      <c r="C17" s="26">
        <f>C11</f>
        <v>171000</v>
      </c>
      <c r="D17" s="26">
        <f>C17*0.2%</f>
        <v>342</v>
      </c>
      <c r="E17" s="26">
        <f>D17</f>
        <v>342</v>
      </c>
      <c r="F17" s="26">
        <f>E17</f>
        <v>342</v>
      </c>
    </row>
    <row r="18" spans="1:7" ht="38.25" x14ac:dyDescent="0.2">
      <c r="A18" s="3" t="s">
        <v>38</v>
      </c>
      <c r="B18" s="3" t="s">
        <v>40</v>
      </c>
      <c r="C18" s="26"/>
      <c r="D18" s="26"/>
      <c r="E18" s="26"/>
      <c r="F18" s="26"/>
    </row>
    <row r="19" spans="1:7" ht="38.25" x14ac:dyDescent="0.2">
      <c r="A19" s="3" t="s">
        <v>39</v>
      </c>
      <c r="B19" s="3" t="s">
        <v>40</v>
      </c>
      <c r="C19" s="26"/>
      <c r="D19" s="26"/>
      <c r="E19" s="26"/>
      <c r="F19" s="26"/>
    </row>
    <row r="20" spans="1:7" ht="38.25" x14ac:dyDescent="0.2">
      <c r="A20" s="3" t="s">
        <v>41</v>
      </c>
      <c r="B20" s="7" t="s">
        <v>42</v>
      </c>
      <c r="C20" s="26">
        <f>C17</f>
        <v>171000</v>
      </c>
      <c r="D20" s="26">
        <f>C20*5.1%</f>
        <v>8721</v>
      </c>
      <c r="E20" s="26">
        <f>D20</f>
        <v>8721</v>
      </c>
      <c r="F20" s="26">
        <f>E20</f>
        <v>8721</v>
      </c>
    </row>
    <row r="21" spans="1:7" s="6" customFormat="1" x14ac:dyDescent="0.2">
      <c r="A21" s="23"/>
      <c r="B21" s="22" t="s">
        <v>12</v>
      </c>
      <c r="C21" s="34">
        <f>C20</f>
        <v>171000</v>
      </c>
      <c r="D21" s="34">
        <f>D11+D15+D17+D20</f>
        <v>51600</v>
      </c>
      <c r="E21" s="34">
        <f>E11+E15+E17+E20</f>
        <v>51600</v>
      </c>
      <c r="F21" s="34">
        <f>F11+F15+F17+F20</f>
        <v>51600</v>
      </c>
      <c r="G21" s="98"/>
    </row>
    <row r="22" spans="1:7" x14ac:dyDescent="0.2">
      <c r="A22" s="11"/>
      <c r="B22" s="11"/>
      <c r="C22" s="93"/>
      <c r="D22" s="11"/>
      <c r="E22" s="11"/>
      <c r="F22" s="11"/>
    </row>
    <row r="23" spans="1:7" x14ac:dyDescent="0.2">
      <c r="A23" s="11"/>
      <c r="B23" s="11"/>
      <c r="C23" s="11"/>
      <c r="D23" s="11"/>
      <c r="E23" s="11"/>
      <c r="F23" s="11"/>
    </row>
    <row r="24" spans="1:7" x14ac:dyDescent="0.2">
      <c r="A24" s="11"/>
      <c r="B24" s="11"/>
      <c r="C24" s="11"/>
      <c r="D24" s="93">
        <f>D7-D21</f>
        <v>0</v>
      </c>
      <c r="E24" s="126"/>
      <c r="F24" s="11"/>
    </row>
    <row r="25" spans="1:7" x14ac:dyDescent="0.2">
      <c r="A25" s="11"/>
      <c r="B25" s="11"/>
      <c r="C25" s="11"/>
      <c r="D25" s="11"/>
      <c r="E25" s="11"/>
      <c r="F25" s="11"/>
    </row>
    <row r="26" spans="1:7" x14ac:dyDescent="0.2">
      <c r="A26" s="11"/>
      <c r="B26" s="11"/>
      <c r="C26" s="11"/>
      <c r="D26" s="11"/>
      <c r="E26" s="11"/>
      <c r="F26" s="11"/>
    </row>
    <row r="27" spans="1:7" x14ac:dyDescent="0.2">
      <c r="A27" s="11"/>
      <c r="B27" s="11"/>
      <c r="C27" s="11"/>
      <c r="D27" s="11"/>
      <c r="E27" s="11"/>
      <c r="F27" s="11"/>
    </row>
    <row r="28" spans="1:7" x14ac:dyDescent="0.2">
      <c r="A28" s="12"/>
      <c r="B28" s="12"/>
      <c r="C28" s="12"/>
      <c r="D28" s="12"/>
      <c r="E28" s="12"/>
      <c r="F28" s="12"/>
    </row>
  </sheetData>
  <mergeCells count="2">
    <mergeCell ref="A4:D4"/>
    <mergeCell ref="A1:L1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FFFF00"/>
  </sheetPr>
  <dimension ref="A1:K33"/>
  <sheetViews>
    <sheetView zoomScaleNormal="100" workbookViewId="0">
      <selection activeCell="H25" sqref="H25"/>
    </sheetView>
  </sheetViews>
  <sheetFormatPr defaultRowHeight="12.75" x14ac:dyDescent="0.2"/>
  <cols>
    <col min="1" max="1" width="5" style="1" customWidth="1"/>
    <col min="2" max="2" width="19.28515625" style="1" customWidth="1"/>
    <col min="3" max="3" width="14" style="1" customWidth="1"/>
    <col min="4" max="4" width="11" style="1" customWidth="1"/>
    <col min="5" max="5" width="15" style="1" customWidth="1"/>
    <col min="6" max="6" width="12.85546875" style="1" customWidth="1"/>
    <col min="7" max="7" width="10.85546875" style="1" customWidth="1"/>
    <col min="8" max="8" width="14.28515625" style="1" customWidth="1"/>
    <col min="9" max="9" width="12.85546875" style="1" customWidth="1"/>
    <col min="10" max="10" width="9.42578125" style="1" customWidth="1"/>
    <col min="11" max="11" width="14.42578125" style="1" customWidth="1"/>
    <col min="12" max="16384" width="9.140625" style="1"/>
  </cols>
  <sheetData>
    <row r="1" spans="1:11" ht="42" customHeight="1" x14ac:dyDescent="0.3">
      <c r="A1" s="208" t="s">
        <v>163</v>
      </c>
      <c r="B1" s="208"/>
      <c r="C1" s="208"/>
      <c r="D1" s="208"/>
      <c r="E1" s="208"/>
      <c r="F1" s="208"/>
      <c r="G1" s="208"/>
      <c r="H1" s="208"/>
      <c r="I1" s="208"/>
      <c r="J1" s="39"/>
    </row>
    <row r="2" spans="1:11" x14ac:dyDescent="0.2">
      <c r="A2" s="1" t="s">
        <v>43</v>
      </c>
    </row>
    <row r="4" spans="1:11" x14ac:dyDescent="0.2">
      <c r="A4" s="6" t="s">
        <v>44</v>
      </c>
    </row>
    <row r="6" spans="1:11" x14ac:dyDescent="0.2">
      <c r="A6" s="1" t="s">
        <v>155</v>
      </c>
    </row>
    <row r="8" spans="1:11" x14ac:dyDescent="0.2">
      <c r="A8" s="1" t="s">
        <v>52</v>
      </c>
    </row>
    <row r="9" spans="1:11" ht="13.5" thickBot="1" x14ac:dyDescent="0.25"/>
    <row r="10" spans="1:11" ht="15" customHeight="1" x14ac:dyDescent="0.2">
      <c r="C10" s="224" t="s">
        <v>235</v>
      </c>
      <c r="D10" s="225"/>
      <c r="E10" s="226"/>
      <c r="F10" s="224" t="s">
        <v>250</v>
      </c>
      <c r="G10" s="225"/>
      <c r="H10" s="226"/>
      <c r="I10" s="224" t="s">
        <v>257</v>
      </c>
      <c r="J10" s="225"/>
      <c r="K10" s="226"/>
    </row>
    <row r="11" spans="1:11" ht="74.25" customHeight="1" x14ac:dyDescent="0.2">
      <c r="A11" s="5" t="s">
        <v>2</v>
      </c>
      <c r="B11" s="29" t="s">
        <v>13</v>
      </c>
      <c r="C11" s="42" t="s">
        <v>45</v>
      </c>
      <c r="D11" s="5" t="s">
        <v>46</v>
      </c>
      <c r="E11" s="43" t="s">
        <v>47</v>
      </c>
      <c r="F11" s="42" t="s">
        <v>45</v>
      </c>
      <c r="G11" s="5" t="s">
        <v>46</v>
      </c>
      <c r="H11" s="43" t="s">
        <v>47</v>
      </c>
      <c r="I11" s="42" t="s">
        <v>45</v>
      </c>
      <c r="J11" s="5" t="s">
        <v>46</v>
      </c>
      <c r="K11" s="43" t="s">
        <v>47</v>
      </c>
    </row>
    <row r="12" spans="1:11" x14ac:dyDescent="0.2">
      <c r="A12" s="5">
        <v>1</v>
      </c>
      <c r="B12" s="29">
        <v>2</v>
      </c>
      <c r="C12" s="42">
        <v>3</v>
      </c>
      <c r="D12" s="5">
        <v>4</v>
      </c>
      <c r="E12" s="43">
        <v>5</v>
      </c>
      <c r="F12" s="42">
        <v>3</v>
      </c>
      <c r="G12" s="5">
        <v>4</v>
      </c>
      <c r="H12" s="43">
        <v>5</v>
      </c>
      <c r="I12" s="42">
        <v>3</v>
      </c>
      <c r="J12" s="5">
        <v>4</v>
      </c>
      <c r="K12" s="43">
        <v>5</v>
      </c>
    </row>
    <row r="13" spans="1:11" ht="25.5" x14ac:dyDescent="0.2">
      <c r="A13" s="3" t="s">
        <v>30</v>
      </c>
      <c r="B13" s="40" t="s">
        <v>48</v>
      </c>
      <c r="C13" s="44"/>
      <c r="D13" s="3"/>
      <c r="E13" s="45"/>
      <c r="F13" s="44"/>
      <c r="G13" s="3"/>
      <c r="H13" s="45"/>
      <c r="I13" s="44"/>
      <c r="J13" s="3"/>
      <c r="K13" s="45"/>
    </row>
    <row r="14" spans="1:11" ht="27" customHeight="1" x14ac:dyDescent="0.2">
      <c r="A14" s="3"/>
      <c r="B14" s="40" t="s">
        <v>49</v>
      </c>
      <c r="C14" s="46"/>
      <c r="D14" s="35">
        <v>2.2000000000000002</v>
      </c>
      <c r="E14" s="47">
        <v>0</v>
      </c>
      <c r="F14" s="46">
        <v>1752060.58</v>
      </c>
      <c r="G14" s="35">
        <v>2.2000000000000002</v>
      </c>
      <c r="H14" s="47">
        <f>358700-H25</f>
        <v>22800</v>
      </c>
      <c r="I14" s="46">
        <v>1752060.58</v>
      </c>
      <c r="J14" s="35">
        <v>2.2000000000000002</v>
      </c>
      <c r="K14" s="47">
        <f>366400-K25</f>
        <v>30500</v>
      </c>
    </row>
    <row r="15" spans="1:11" ht="25.5" x14ac:dyDescent="0.2">
      <c r="A15" s="3"/>
      <c r="B15" s="40" t="s">
        <v>50</v>
      </c>
      <c r="C15" s="46"/>
      <c r="D15" s="35"/>
      <c r="E15" s="47"/>
      <c r="F15" s="46"/>
      <c r="G15" s="35"/>
      <c r="H15" s="47"/>
      <c r="I15" s="46"/>
      <c r="J15" s="35"/>
      <c r="K15" s="47"/>
    </row>
    <row r="16" spans="1:11" x14ac:dyDescent="0.2">
      <c r="A16" s="3"/>
      <c r="B16" s="40" t="s">
        <v>51</v>
      </c>
      <c r="C16" s="46"/>
      <c r="D16" s="35">
        <v>2.2000000000000002</v>
      </c>
      <c r="E16" s="47">
        <f>C16*D16/100/4*3</f>
        <v>0</v>
      </c>
      <c r="F16" s="46"/>
      <c r="G16" s="35">
        <v>2.2000000000000002</v>
      </c>
      <c r="H16" s="47">
        <f>F16*G16/100/4*3</f>
        <v>0</v>
      </c>
      <c r="I16" s="46"/>
      <c r="J16" s="35">
        <v>2.2000000000000002</v>
      </c>
      <c r="K16" s="47">
        <f>I16*J16/100/4*3</f>
        <v>0</v>
      </c>
    </row>
    <row r="17" spans="1:11" ht="25.5" x14ac:dyDescent="0.2">
      <c r="A17" s="3"/>
      <c r="B17" s="40" t="s">
        <v>50</v>
      </c>
      <c r="C17" s="46"/>
      <c r="D17" s="26"/>
      <c r="E17" s="47"/>
      <c r="F17" s="46"/>
      <c r="G17" s="26"/>
      <c r="H17" s="47"/>
      <c r="I17" s="46"/>
      <c r="J17" s="26"/>
      <c r="K17" s="47"/>
    </row>
    <row r="18" spans="1:11" ht="13.5" thickBot="1" x14ac:dyDescent="0.25">
      <c r="A18" s="21"/>
      <c r="B18" s="41" t="s">
        <v>12</v>
      </c>
      <c r="C18" s="48">
        <f>C14+C16</f>
        <v>0</v>
      </c>
      <c r="D18" s="49" t="s">
        <v>22</v>
      </c>
      <c r="E18" s="50">
        <f>E14+E16</f>
        <v>0</v>
      </c>
      <c r="F18" s="48">
        <f>F14+F16</f>
        <v>1752060.58</v>
      </c>
      <c r="G18" s="49" t="s">
        <v>22</v>
      </c>
      <c r="H18" s="50">
        <f>H14+H16</f>
        <v>22800</v>
      </c>
      <c r="I18" s="48">
        <f>I14+I16</f>
        <v>1752060.58</v>
      </c>
      <c r="J18" s="49" t="s">
        <v>22</v>
      </c>
      <c r="K18" s="50">
        <f>K14+K16</f>
        <v>30500</v>
      </c>
    </row>
    <row r="19" spans="1:11" x14ac:dyDescent="0.2">
      <c r="A19" s="1" t="s">
        <v>53</v>
      </c>
    </row>
    <row r="20" spans="1:11" ht="13.5" thickBot="1" x14ac:dyDescent="0.25"/>
    <row r="21" spans="1:11" ht="15" customHeight="1" x14ac:dyDescent="0.2">
      <c r="C21" s="224" t="str">
        <f>C10</f>
        <v>2023 год</v>
      </c>
      <c r="D21" s="225"/>
      <c r="E21" s="226"/>
      <c r="F21" s="224" t="str">
        <f>F10</f>
        <v>2024 год</v>
      </c>
      <c r="G21" s="225"/>
      <c r="H21" s="226"/>
      <c r="I21" s="224" t="str">
        <f>I10</f>
        <v>2025 год</v>
      </c>
      <c r="J21" s="225"/>
      <c r="K21" s="226"/>
    </row>
    <row r="22" spans="1:11" ht="51" x14ac:dyDescent="0.2">
      <c r="A22" s="5" t="s">
        <v>2</v>
      </c>
      <c r="B22" s="29" t="s">
        <v>13</v>
      </c>
      <c r="C22" s="42" t="s">
        <v>54</v>
      </c>
      <c r="D22" s="5" t="s">
        <v>46</v>
      </c>
      <c r="E22" s="43" t="s">
        <v>55</v>
      </c>
      <c r="F22" s="42" t="s">
        <v>54</v>
      </c>
      <c r="G22" s="5" t="s">
        <v>46</v>
      </c>
      <c r="H22" s="43" t="s">
        <v>55</v>
      </c>
      <c r="I22" s="42" t="s">
        <v>54</v>
      </c>
      <c r="J22" s="5" t="s">
        <v>46</v>
      </c>
      <c r="K22" s="43" t="s">
        <v>55</v>
      </c>
    </row>
    <row r="23" spans="1:11" x14ac:dyDescent="0.2">
      <c r="A23" s="5">
        <v>1</v>
      </c>
      <c r="B23" s="29">
        <v>2</v>
      </c>
      <c r="C23" s="42">
        <v>3</v>
      </c>
      <c r="D23" s="5">
        <v>4</v>
      </c>
      <c r="E23" s="43">
        <v>5</v>
      </c>
      <c r="F23" s="42">
        <v>3</v>
      </c>
      <c r="G23" s="5">
        <v>4</v>
      </c>
      <c r="H23" s="43">
        <v>5</v>
      </c>
      <c r="I23" s="42">
        <v>3</v>
      </c>
      <c r="J23" s="5">
        <v>4</v>
      </c>
      <c r="K23" s="43">
        <v>5</v>
      </c>
    </row>
    <row r="24" spans="1:11" ht="25.5" x14ac:dyDescent="0.2">
      <c r="A24" s="3" t="s">
        <v>30</v>
      </c>
      <c r="B24" s="40" t="s">
        <v>56</v>
      </c>
      <c r="C24" s="44"/>
      <c r="D24" s="3"/>
      <c r="E24" s="45"/>
      <c r="F24" s="44"/>
      <c r="G24" s="3"/>
      <c r="H24" s="45"/>
      <c r="I24" s="44"/>
      <c r="J24" s="3"/>
      <c r="K24" s="45"/>
    </row>
    <row r="25" spans="1:11" ht="25.5" x14ac:dyDescent="0.2">
      <c r="A25" s="3"/>
      <c r="B25" s="40" t="s">
        <v>57</v>
      </c>
      <c r="C25" s="52">
        <v>49451745.399999999</v>
      </c>
      <c r="D25" s="3">
        <v>1.5</v>
      </c>
      <c r="E25" s="53">
        <v>335900</v>
      </c>
      <c r="F25" s="52">
        <v>49451745.399999999</v>
      </c>
      <c r="G25" s="3">
        <v>1.5</v>
      </c>
      <c r="H25" s="53">
        <v>335900</v>
      </c>
      <c r="I25" s="52">
        <v>49451745.399999999</v>
      </c>
      <c r="J25" s="3">
        <v>1.5</v>
      </c>
      <c r="K25" s="53">
        <v>335900</v>
      </c>
    </row>
    <row r="26" spans="1:11" x14ac:dyDescent="0.2">
      <c r="A26" s="3"/>
      <c r="B26" s="40" t="s">
        <v>256</v>
      </c>
      <c r="C26" s="52">
        <v>61.5</v>
      </c>
      <c r="D26" s="3"/>
      <c r="E26" s="45">
        <v>0</v>
      </c>
      <c r="F26" s="52"/>
      <c r="G26" s="3"/>
      <c r="H26" s="45"/>
      <c r="I26" s="52"/>
      <c r="J26" s="3"/>
      <c r="K26" s="45"/>
    </row>
    <row r="27" spans="1:11" x14ac:dyDescent="0.2">
      <c r="A27" s="2"/>
      <c r="B27" s="51"/>
      <c r="C27" s="54"/>
      <c r="D27" s="2"/>
      <c r="E27" s="55"/>
      <c r="F27" s="54"/>
      <c r="G27" s="2"/>
      <c r="H27" s="55"/>
      <c r="I27" s="54"/>
      <c r="J27" s="2"/>
      <c r="K27" s="55"/>
    </row>
    <row r="28" spans="1:11" ht="13.5" thickBot="1" x14ac:dyDescent="0.25">
      <c r="A28" s="19"/>
      <c r="B28" s="41" t="s">
        <v>12</v>
      </c>
      <c r="C28" s="56" t="s">
        <v>22</v>
      </c>
      <c r="D28" s="57" t="s">
        <v>22</v>
      </c>
      <c r="E28" s="58">
        <f>E25+E26</f>
        <v>335900</v>
      </c>
      <c r="F28" s="56" t="s">
        <v>22</v>
      </c>
      <c r="G28" s="57" t="s">
        <v>22</v>
      </c>
      <c r="H28" s="58">
        <f>H25</f>
        <v>335900</v>
      </c>
      <c r="I28" s="56" t="s">
        <v>22</v>
      </c>
      <c r="J28" s="57" t="s">
        <v>22</v>
      </c>
      <c r="K28" s="58">
        <f>K25</f>
        <v>335900</v>
      </c>
    </row>
    <row r="31" spans="1:11" x14ac:dyDescent="0.2">
      <c r="H31" s="36"/>
      <c r="K31" s="36"/>
    </row>
    <row r="33" spans="8:11" x14ac:dyDescent="0.2">
      <c r="H33" s="36">
        <f>H14+H25</f>
        <v>358700</v>
      </c>
      <c r="K33" s="36">
        <f>K14+K25</f>
        <v>366400</v>
      </c>
    </row>
  </sheetData>
  <mergeCells count="7">
    <mergeCell ref="A1:I1"/>
    <mergeCell ref="C10:E10"/>
    <mergeCell ref="F10:H10"/>
    <mergeCell ref="I10:K10"/>
    <mergeCell ref="C21:E21"/>
    <mergeCell ref="F21:H21"/>
    <mergeCell ref="I21:K21"/>
  </mergeCells>
  <pageMargins left="0.7" right="0.7" top="0.75" bottom="0.75" header="0.3" footer="0.3"/>
  <pageSetup paperSize="9" scale="62" orientation="portrait" horizontalDpi="360" verticalDpi="36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FFFF00"/>
  </sheetPr>
  <dimension ref="A1:K19"/>
  <sheetViews>
    <sheetView zoomScaleNormal="100" workbookViewId="0">
      <selection activeCell="O9" sqref="O9"/>
    </sheetView>
  </sheetViews>
  <sheetFormatPr defaultRowHeight="12.75" x14ac:dyDescent="0.2"/>
  <cols>
    <col min="1" max="1" width="5.140625" style="1" customWidth="1"/>
    <col min="2" max="2" width="21.140625" style="1" customWidth="1"/>
    <col min="3" max="3" width="9.5703125" style="1" customWidth="1"/>
    <col min="4" max="4" width="8.28515625" style="1" customWidth="1"/>
    <col min="5" max="5" width="12.7109375" style="1" customWidth="1"/>
    <col min="6" max="7" width="9.140625" style="1"/>
    <col min="8" max="8" width="10.140625" style="1" customWidth="1"/>
    <col min="9" max="10" width="9.140625" style="1"/>
    <col min="11" max="11" width="10" style="1" customWidth="1"/>
    <col min="12" max="16384" width="9.140625" style="1"/>
  </cols>
  <sheetData>
    <row r="1" spans="1:11" ht="47.25" customHeight="1" x14ac:dyDescent="0.3">
      <c r="A1" s="208" t="s">
        <v>163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</row>
    <row r="2" spans="1:11" x14ac:dyDescent="0.2">
      <c r="A2" s="1" t="s">
        <v>58</v>
      </c>
    </row>
    <row r="4" spans="1:11" x14ac:dyDescent="0.2">
      <c r="A4" s="6" t="s">
        <v>59</v>
      </c>
    </row>
    <row r="6" spans="1:11" x14ac:dyDescent="0.2">
      <c r="A6" s="1" t="s">
        <v>155</v>
      </c>
    </row>
    <row r="7" spans="1:11" ht="13.5" thickBot="1" x14ac:dyDescent="0.25"/>
    <row r="8" spans="1:11" ht="15" customHeight="1" x14ac:dyDescent="0.2">
      <c r="C8" s="224" t="s">
        <v>171</v>
      </c>
      <c r="D8" s="225"/>
      <c r="E8" s="226"/>
      <c r="F8" s="224" t="s">
        <v>217</v>
      </c>
      <c r="G8" s="225"/>
      <c r="H8" s="226"/>
      <c r="I8" s="224" t="s">
        <v>235</v>
      </c>
      <c r="J8" s="225"/>
      <c r="K8" s="226"/>
    </row>
    <row r="9" spans="1:11" ht="38.25" customHeight="1" x14ac:dyDescent="0.2">
      <c r="A9" s="5" t="s">
        <v>2</v>
      </c>
      <c r="B9" s="29" t="s">
        <v>13</v>
      </c>
      <c r="C9" s="42" t="s">
        <v>45</v>
      </c>
      <c r="D9" s="5" t="s">
        <v>46</v>
      </c>
      <c r="E9" s="43" t="s">
        <v>60</v>
      </c>
      <c r="F9" s="42" t="s">
        <v>45</v>
      </c>
      <c r="G9" s="5" t="s">
        <v>46</v>
      </c>
      <c r="H9" s="43" t="s">
        <v>60</v>
      </c>
      <c r="I9" s="42" t="s">
        <v>45</v>
      </c>
      <c r="J9" s="5" t="s">
        <v>46</v>
      </c>
      <c r="K9" s="43" t="s">
        <v>60</v>
      </c>
    </row>
    <row r="10" spans="1:11" x14ac:dyDescent="0.2">
      <c r="A10" s="5">
        <v>1</v>
      </c>
      <c r="B10" s="29">
        <v>2</v>
      </c>
      <c r="C10" s="42">
        <v>3</v>
      </c>
      <c r="D10" s="5">
        <v>4</v>
      </c>
      <c r="E10" s="43">
        <v>5</v>
      </c>
      <c r="F10" s="42">
        <v>3</v>
      </c>
      <c r="G10" s="5">
        <v>4</v>
      </c>
      <c r="H10" s="43">
        <v>5</v>
      </c>
      <c r="I10" s="42">
        <v>3</v>
      </c>
      <c r="J10" s="5">
        <v>4</v>
      </c>
      <c r="K10" s="43">
        <v>5</v>
      </c>
    </row>
    <row r="11" spans="1:11" ht="14.25" customHeight="1" x14ac:dyDescent="0.2">
      <c r="A11" s="2" t="s">
        <v>61</v>
      </c>
      <c r="B11" s="51" t="s">
        <v>62</v>
      </c>
      <c r="C11" s="61"/>
      <c r="D11" s="20"/>
      <c r="E11" s="62"/>
      <c r="F11" s="61"/>
      <c r="G11" s="20"/>
      <c r="H11" s="62"/>
      <c r="I11" s="61"/>
      <c r="J11" s="20"/>
      <c r="K11" s="62"/>
    </row>
    <row r="12" spans="1:11" ht="39" customHeight="1" x14ac:dyDescent="0.2">
      <c r="A12" s="2"/>
      <c r="B12" s="59" t="s">
        <v>63</v>
      </c>
      <c r="C12" s="61"/>
      <c r="D12" s="20"/>
      <c r="E12" s="62"/>
      <c r="F12" s="61"/>
      <c r="G12" s="20"/>
      <c r="H12" s="62"/>
      <c r="I12" s="61"/>
      <c r="J12" s="20"/>
      <c r="K12" s="62"/>
    </row>
    <row r="13" spans="1:11" ht="38.25" x14ac:dyDescent="0.2">
      <c r="A13" s="2"/>
      <c r="B13" s="59" t="s">
        <v>64</v>
      </c>
      <c r="C13" s="61"/>
      <c r="D13" s="20"/>
      <c r="E13" s="62">
        <v>0</v>
      </c>
      <c r="F13" s="61"/>
      <c r="G13" s="20"/>
      <c r="H13" s="62">
        <v>0</v>
      </c>
      <c r="I13" s="61"/>
      <c r="J13" s="20"/>
      <c r="K13" s="62">
        <v>0</v>
      </c>
    </row>
    <row r="14" spans="1:11" x14ac:dyDescent="0.2">
      <c r="A14" s="2"/>
      <c r="B14" s="51"/>
      <c r="C14" s="61"/>
      <c r="D14" s="20"/>
      <c r="E14" s="62"/>
      <c r="F14" s="61"/>
      <c r="G14" s="20"/>
      <c r="H14" s="62"/>
      <c r="I14" s="61"/>
      <c r="J14" s="20"/>
      <c r="K14" s="62"/>
    </row>
    <row r="15" spans="1:11" x14ac:dyDescent="0.2">
      <c r="A15" s="2"/>
      <c r="B15" s="51"/>
      <c r="C15" s="61"/>
      <c r="D15" s="20"/>
      <c r="E15" s="62"/>
      <c r="F15" s="61"/>
      <c r="G15" s="20"/>
      <c r="H15" s="62"/>
      <c r="I15" s="61"/>
      <c r="J15" s="20"/>
      <c r="K15" s="62"/>
    </row>
    <row r="16" spans="1:11" x14ac:dyDescent="0.2">
      <c r="A16" s="2"/>
      <c r="B16" s="51"/>
      <c r="C16" s="61"/>
      <c r="D16" s="20"/>
      <c r="E16" s="62"/>
      <c r="F16" s="61"/>
      <c r="G16" s="20"/>
      <c r="H16" s="62"/>
      <c r="I16" s="61"/>
      <c r="J16" s="20"/>
      <c r="K16" s="62"/>
    </row>
    <row r="17" spans="1:11" x14ac:dyDescent="0.2">
      <c r="A17" s="2"/>
      <c r="B17" s="51"/>
      <c r="C17" s="61"/>
      <c r="D17" s="20"/>
      <c r="E17" s="62"/>
      <c r="F17" s="61"/>
      <c r="G17" s="20"/>
      <c r="H17" s="62"/>
      <c r="I17" s="61"/>
      <c r="J17" s="20"/>
      <c r="K17" s="62"/>
    </row>
    <row r="18" spans="1:11" x14ac:dyDescent="0.2">
      <c r="A18" s="2"/>
      <c r="B18" s="51"/>
      <c r="C18" s="61"/>
      <c r="D18" s="20"/>
      <c r="E18" s="62"/>
      <c r="F18" s="61"/>
      <c r="G18" s="20"/>
      <c r="H18" s="62"/>
      <c r="I18" s="61"/>
      <c r="J18" s="20"/>
      <c r="K18" s="62"/>
    </row>
    <row r="19" spans="1:11" ht="13.5" thickBot="1" x14ac:dyDescent="0.25">
      <c r="A19" s="19"/>
      <c r="B19" s="60" t="s">
        <v>12</v>
      </c>
      <c r="C19" s="63" t="s">
        <v>22</v>
      </c>
      <c r="D19" s="64" t="s">
        <v>22</v>
      </c>
      <c r="E19" s="65">
        <f>E13</f>
        <v>0</v>
      </c>
      <c r="F19" s="63" t="s">
        <v>22</v>
      </c>
      <c r="G19" s="64" t="s">
        <v>22</v>
      </c>
      <c r="H19" s="65">
        <f>H13</f>
        <v>0</v>
      </c>
      <c r="I19" s="63" t="s">
        <v>22</v>
      </c>
      <c r="J19" s="64" t="s">
        <v>22</v>
      </c>
      <c r="K19" s="65">
        <f>K13</f>
        <v>0</v>
      </c>
    </row>
  </sheetData>
  <mergeCells count="4">
    <mergeCell ref="C8:E8"/>
    <mergeCell ref="F8:H8"/>
    <mergeCell ref="I8:K8"/>
    <mergeCell ref="A1:K1"/>
  </mergeCells>
  <pageMargins left="0.70866141732283472" right="0.31496062992125984" top="0.74803149606299213" bottom="0.74803149606299213" header="0.31496062992125984" footer="0.31496062992125984"/>
  <pageSetup paperSize="9" scale="81" orientation="portrait" horizontalDpi="360" verticalDpi="36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rgb="FFFFFF00"/>
  </sheetPr>
  <dimension ref="A1:N19"/>
  <sheetViews>
    <sheetView topLeftCell="A7" zoomScaleNormal="100" workbookViewId="0">
      <selection activeCell="O17" sqref="O17"/>
    </sheetView>
  </sheetViews>
  <sheetFormatPr defaultRowHeight="12.75" x14ac:dyDescent="0.2"/>
  <cols>
    <col min="1" max="1" width="5.28515625" style="1" customWidth="1"/>
    <col min="2" max="2" width="20.7109375" style="1" customWidth="1"/>
    <col min="3" max="3" width="8" style="1" customWidth="1"/>
    <col min="4" max="4" width="10.7109375" style="1" customWidth="1"/>
    <col min="5" max="5" width="9.5703125" style="1" customWidth="1"/>
    <col min="6" max="6" width="13.42578125" style="1" customWidth="1"/>
    <col min="7" max="7" width="7.7109375" style="1" customWidth="1"/>
    <col min="8" max="8" width="10.85546875" style="1" customWidth="1"/>
    <col min="9" max="9" width="9.7109375" style="1" customWidth="1"/>
    <col min="10" max="10" width="10.42578125" style="1" customWidth="1"/>
    <col min="11" max="11" width="8.140625" style="1" customWidth="1"/>
    <col min="12" max="12" width="10.42578125" style="1" customWidth="1"/>
    <col min="13" max="13" width="10.28515625" style="1" customWidth="1"/>
    <col min="14" max="14" width="11.42578125" style="1" customWidth="1"/>
    <col min="15" max="16384" width="9.140625" style="1"/>
  </cols>
  <sheetData>
    <row r="1" spans="1:14" ht="37.5" customHeight="1" x14ac:dyDescent="0.3">
      <c r="A1" s="208" t="s">
        <v>163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</row>
    <row r="2" spans="1:14" x14ac:dyDescent="0.2">
      <c r="A2" s="1" t="s">
        <v>65</v>
      </c>
    </row>
    <row r="3" spans="1:14" ht="9.75" customHeight="1" x14ac:dyDescent="0.2"/>
    <row r="4" spans="1:14" ht="24.75" customHeight="1" x14ac:dyDescent="0.2">
      <c r="A4" s="207" t="s">
        <v>66</v>
      </c>
      <c r="B4" s="207"/>
      <c r="C4" s="207"/>
      <c r="D4" s="207"/>
      <c r="E4" s="207"/>
      <c r="F4" s="207"/>
    </row>
    <row r="5" spans="1:14" ht="8.25" customHeight="1" x14ac:dyDescent="0.2"/>
    <row r="6" spans="1:14" x14ac:dyDescent="0.2">
      <c r="A6" s="1" t="s">
        <v>155</v>
      </c>
    </row>
    <row r="7" spans="1:14" ht="10.5" customHeight="1" thickBot="1" x14ac:dyDescent="0.25"/>
    <row r="8" spans="1:14" ht="15" customHeight="1" x14ac:dyDescent="0.2">
      <c r="C8" s="224" t="s">
        <v>217</v>
      </c>
      <c r="D8" s="225"/>
      <c r="E8" s="225"/>
      <c r="F8" s="226"/>
      <c r="G8" s="224" t="s">
        <v>235</v>
      </c>
      <c r="H8" s="225"/>
      <c r="I8" s="225"/>
      <c r="J8" s="226"/>
      <c r="K8" s="224" t="s">
        <v>250</v>
      </c>
      <c r="L8" s="225"/>
      <c r="M8" s="225"/>
      <c r="N8" s="226"/>
    </row>
    <row r="9" spans="1:14" ht="53.25" customHeight="1" x14ac:dyDescent="0.2">
      <c r="A9" s="5" t="s">
        <v>2</v>
      </c>
      <c r="B9" s="29" t="s">
        <v>13</v>
      </c>
      <c r="C9" s="42" t="s">
        <v>67</v>
      </c>
      <c r="D9" s="5" t="s">
        <v>68</v>
      </c>
      <c r="E9" s="5" t="s">
        <v>69</v>
      </c>
      <c r="F9" s="43" t="s">
        <v>70</v>
      </c>
      <c r="G9" s="42" t="s">
        <v>67</v>
      </c>
      <c r="H9" s="5" t="s">
        <v>68</v>
      </c>
      <c r="I9" s="5" t="s">
        <v>69</v>
      </c>
      <c r="J9" s="43" t="s">
        <v>70</v>
      </c>
      <c r="K9" s="42" t="s">
        <v>67</v>
      </c>
      <c r="L9" s="5" t="s">
        <v>68</v>
      </c>
      <c r="M9" s="5" t="s">
        <v>69</v>
      </c>
      <c r="N9" s="43" t="s">
        <v>70</v>
      </c>
    </row>
    <row r="10" spans="1:14" x14ac:dyDescent="0.2">
      <c r="A10" s="5">
        <v>1</v>
      </c>
      <c r="B10" s="29">
        <v>2</v>
      </c>
      <c r="C10" s="42">
        <v>3</v>
      </c>
      <c r="D10" s="5">
        <v>4</v>
      </c>
      <c r="E10" s="5">
        <v>5</v>
      </c>
      <c r="F10" s="43">
        <v>6</v>
      </c>
      <c r="G10" s="42">
        <v>3</v>
      </c>
      <c r="H10" s="5">
        <v>4</v>
      </c>
      <c r="I10" s="5">
        <v>5</v>
      </c>
      <c r="J10" s="43">
        <v>6</v>
      </c>
      <c r="K10" s="42">
        <v>3</v>
      </c>
      <c r="L10" s="5">
        <v>4</v>
      </c>
      <c r="M10" s="5">
        <v>5</v>
      </c>
      <c r="N10" s="43">
        <v>6</v>
      </c>
    </row>
    <row r="11" spans="1:14" ht="25.5" x14ac:dyDescent="0.2">
      <c r="A11" s="3" t="s">
        <v>30</v>
      </c>
      <c r="B11" s="40" t="s">
        <v>71</v>
      </c>
      <c r="C11" s="46">
        <v>1</v>
      </c>
      <c r="D11" s="26">
        <v>12</v>
      </c>
      <c r="E11" s="26">
        <v>984</v>
      </c>
      <c r="F11" s="67">
        <f>10824+984+2456.16</f>
        <v>14264.16</v>
      </c>
      <c r="G11" s="46">
        <v>1</v>
      </c>
      <c r="H11" s="26">
        <v>12</v>
      </c>
      <c r="I11" s="26">
        <v>984</v>
      </c>
      <c r="J11" s="67">
        <f>16000-735.81</f>
        <v>15264.19</v>
      </c>
      <c r="K11" s="46">
        <v>1</v>
      </c>
      <c r="L11" s="26">
        <v>12</v>
      </c>
      <c r="M11" s="26">
        <v>984</v>
      </c>
      <c r="N11" s="67">
        <f>K11*L11*M11-79.91</f>
        <v>11728.09</v>
      </c>
    </row>
    <row r="12" spans="1:14" ht="65.25" customHeight="1" x14ac:dyDescent="0.2">
      <c r="A12" s="3"/>
      <c r="B12" s="40" t="s">
        <v>72</v>
      </c>
      <c r="C12" s="46"/>
      <c r="D12" s="26"/>
      <c r="E12" s="26"/>
      <c r="F12" s="47"/>
      <c r="G12" s="46"/>
      <c r="H12" s="26"/>
      <c r="I12" s="26"/>
      <c r="J12" s="47"/>
      <c r="K12" s="46"/>
      <c r="L12" s="26"/>
      <c r="M12" s="26"/>
      <c r="N12" s="47"/>
    </row>
    <row r="13" spans="1:14" ht="25.5" x14ac:dyDescent="0.2">
      <c r="A13" s="3"/>
      <c r="B13" s="40" t="s">
        <v>73</v>
      </c>
      <c r="C13" s="46"/>
      <c r="D13" s="26"/>
      <c r="E13" s="26"/>
      <c r="F13" s="47"/>
      <c r="G13" s="46"/>
      <c r="H13" s="26"/>
      <c r="I13" s="26"/>
      <c r="J13" s="47"/>
      <c r="K13" s="46"/>
      <c r="L13" s="26"/>
      <c r="M13" s="26"/>
      <c r="N13" s="47"/>
    </row>
    <row r="14" spans="1:14" ht="64.5" customHeight="1" x14ac:dyDescent="0.2">
      <c r="A14" s="3"/>
      <c r="B14" s="40" t="s">
        <v>74</v>
      </c>
      <c r="C14" s="46"/>
      <c r="D14" s="26"/>
      <c r="E14" s="26"/>
      <c r="F14" s="47"/>
      <c r="G14" s="46"/>
      <c r="H14" s="26"/>
      <c r="I14" s="26"/>
      <c r="J14" s="47"/>
      <c r="K14" s="46"/>
      <c r="L14" s="26"/>
      <c r="M14" s="26"/>
      <c r="N14" s="47"/>
    </row>
    <row r="15" spans="1:14" ht="66.75" customHeight="1" x14ac:dyDescent="0.2">
      <c r="A15" s="3"/>
      <c r="B15" s="40" t="s">
        <v>75</v>
      </c>
      <c r="C15" s="46"/>
      <c r="D15" s="26"/>
      <c r="E15" s="26"/>
      <c r="F15" s="47"/>
      <c r="G15" s="46"/>
      <c r="H15" s="26"/>
      <c r="I15" s="26"/>
      <c r="J15" s="47"/>
      <c r="K15" s="46"/>
      <c r="L15" s="26"/>
      <c r="M15" s="26"/>
      <c r="N15" s="47"/>
    </row>
    <row r="16" spans="1:14" ht="24" customHeight="1" x14ac:dyDescent="0.2">
      <c r="A16" s="3"/>
      <c r="B16" s="40" t="s">
        <v>76</v>
      </c>
      <c r="C16" s="46"/>
      <c r="D16" s="26"/>
      <c r="E16" s="26"/>
      <c r="F16" s="47"/>
      <c r="G16" s="46"/>
      <c r="H16" s="26"/>
      <c r="I16" s="26"/>
      <c r="J16" s="47"/>
      <c r="K16" s="46"/>
      <c r="L16" s="26"/>
      <c r="M16" s="26"/>
      <c r="N16" s="47"/>
    </row>
    <row r="17" spans="1:14" ht="25.5" customHeight="1" x14ac:dyDescent="0.2">
      <c r="A17" s="3"/>
      <c r="B17" s="40" t="s">
        <v>77</v>
      </c>
      <c r="C17" s="46">
        <v>1</v>
      </c>
      <c r="D17" s="26">
        <v>12</v>
      </c>
      <c r="E17" s="26">
        <f>F17/D17</f>
        <v>1394.6533333333334</v>
      </c>
      <c r="F17" s="47">
        <f>15400+1335.84</f>
        <v>16735.84</v>
      </c>
      <c r="G17" s="46">
        <v>1</v>
      </c>
      <c r="H17" s="26">
        <v>12</v>
      </c>
      <c r="I17" s="26">
        <f>J17/H17</f>
        <v>1394.6508333333334</v>
      </c>
      <c r="J17" s="47">
        <f>15400+1335.81</f>
        <v>16735.810000000001</v>
      </c>
      <c r="K17" s="46">
        <v>1</v>
      </c>
      <c r="L17" s="26">
        <v>12</v>
      </c>
      <c r="M17" s="26">
        <f>N17/L17</f>
        <v>1772.6591666666666</v>
      </c>
      <c r="N17" s="47">
        <f>33000-N11</f>
        <v>21271.91</v>
      </c>
    </row>
    <row r="18" spans="1:14" ht="38.25" x14ac:dyDescent="0.2">
      <c r="A18" s="3"/>
      <c r="B18" s="40" t="s">
        <v>78</v>
      </c>
      <c r="C18" s="46"/>
      <c r="D18" s="26"/>
      <c r="E18" s="26"/>
      <c r="F18" s="47"/>
      <c r="G18" s="46"/>
      <c r="H18" s="26"/>
      <c r="I18" s="26"/>
      <c r="J18" s="47"/>
      <c r="K18" s="46"/>
      <c r="L18" s="26"/>
      <c r="M18" s="26"/>
      <c r="N18" s="47"/>
    </row>
    <row r="19" spans="1:14" s="25" customFormat="1" x14ac:dyDescent="0.2">
      <c r="A19" s="31"/>
      <c r="B19" s="66" t="s">
        <v>12</v>
      </c>
      <c r="C19" s="68" t="s">
        <v>22</v>
      </c>
      <c r="D19" s="28" t="s">
        <v>22</v>
      </c>
      <c r="E19" s="28" t="s">
        <v>22</v>
      </c>
      <c r="F19" s="69">
        <f>F11+F17</f>
        <v>31000</v>
      </c>
      <c r="G19" s="68" t="s">
        <v>22</v>
      </c>
      <c r="H19" s="28" t="s">
        <v>22</v>
      </c>
      <c r="I19" s="28" t="s">
        <v>22</v>
      </c>
      <c r="J19" s="69">
        <f>J11+J17</f>
        <v>32000</v>
      </c>
      <c r="K19" s="68" t="s">
        <v>22</v>
      </c>
      <c r="L19" s="28" t="s">
        <v>22</v>
      </c>
      <c r="M19" s="28" t="s">
        <v>22</v>
      </c>
      <c r="N19" s="69">
        <f>N11+N17</f>
        <v>33000</v>
      </c>
    </row>
  </sheetData>
  <mergeCells count="5">
    <mergeCell ref="A4:F4"/>
    <mergeCell ref="C8:F8"/>
    <mergeCell ref="G8:J8"/>
    <mergeCell ref="K8:N8"/>
    <mergeCell ref="A1:K1"/>
  </mergeCells>
  <pageMargins left="0.70866141732283472" right="0.31496062992125984" top="0.74803149606299213" bottom="0.74803149606299213" header="0.31496062992125984" footer="0.31496062992125984"/>
  <pageSetup paperSize="9" scale="92" orientation="landscape" horizontalDpi="360" verticalDpi="36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rgb="FFFFFF00"/>
  </sheetPr>
  <dimension ref="A1:Q38"/>
  <sheetViews>
    <sheetView zoomScaleNormal="100" workbookViewId="0">
      <selection activeCell="N35" sqref="N35"/>
    </sheetView>
  </sheetViews>
  <sheetFormatPr defaultRowHeight="12.75" x14ac:dyDescent="0.2"/>
  <cols>
    <col min="1" max="1" width="3.5703125" style="1" customWidth="1"/>
    <col min="2" max="2" width="25.140625" style="1" customWidth="1"/>
    <col min="3" max="3" width="11.85546875" style="1" customWidth="1"/>
    <col min="4" max="4" width="11.140625" style="1" customWidth="1"/>
    <col min="5" max="5" width="11" style="1" customWidth="1"/>
    <col min="6" max="6" width="13.5703125" style="1" customWidth="1"/>
    <col min="7" max="7" width="10.42578125" style="1" customWidth="1"/>
    <col min="8" max="9" width="9.140625" style="1"/>
    <col min="10" max="10" width="14.42578125" style="1" customWidth="1"/>
    <col min="11" max="11" width="11.140625" style="1" customWidth="1"/>
    <col min="12" max="13" width="9.140625" style="1"/>
    <col min="14" max="14" width="13.85546875" style="1" customWidth="1"/>
    <col min="15" max="15" width="6.5703125" style="1" customWidth="1"/>
    <col min="16" max="16" width="7" style="1" customWidth="1"/>
    <col min="17" max="16384" width="9.140625" style="1"/>
  </cols>
  <sheetData>
    <row r="1" spans="1:17" ht="39" customHeight="1" x14ac:dyDescent="0.3">
      <c r="A1" s="208" t="s">
        <v>163</v>
      </c>
      <c r="B1" s="208"/>
      <c r="C1" s="208"/>
      <c r="D1" s="208"/>
      <c r="E1" s="208"/>
      <c r="F1" s="208"/>
      <c r="G1" s="208"/>
      <c r="H1" s="39"/>
      <c r="I1" s="39"/>
      <c r="J1" s="39"/>
      <c r="K1" s="39"/>
    </row>
    <row r="2" spans="1:17" x14ac:dyDescent="0.2">
      <c r="A2" s="1" t="s">
        <v>65</v>
      </c>
    </row>
    <row r="3" spans="1:17" ht="8.25" customHeight="1" x14ac:dyDescent="0.2"/>
    <row r="4" spans="1:17" x14ac:dyDescent="0.2">
      <c r="A4" s="1" t="s">
        <v>66</v>
      </c>
    </row>
    <row r="6" spans="1:17" x14ac:dyDescent="0.2">
      <c r="A6" s="1" t="s">
        <v>155</v>
      </c>
    </row>
    <row r="7" spans="1:17" ht="13.5" thickBot="1" x14ac:dyDescent="0.25"/>
    <row r="8" spans="1:17" ht="15" customHeight="1" x14ac:dyDescent="0.2">
      <c r="C8" s="224" t="s">
        <v>235</v>
      </c>
      <c r="D8" s="225"/>
      <c r="E8" s="225"/>
      <c r="F8" s="226"/>
      <c r="G8" s="224" t="s">
        <v>250</v>
      </c>
      <c r="H8" s="225"/>
      <c r="I8" s="225"/>
      <c r="J8" s="226"/>
      <c r="K8" s="224" t="s">
        <v>257</v>
      </c>
      <c r="L8" s="225"/>
      <c r="M8" s="225"/>
      <c r="N8" s="226"/>
    </row>
    <row r="9" spans="1:17" ht="38.25" x14ac:dyDescent="0.2">
      <c r="A9" s="5" t="s">
        <v>2</v>
      </c>
      <c r="B9" s="29" t="s">
        <v>13</v>
      </c>
      <c r="C9" s="42" t="s">
        <v>79</v>
      </c>
      <c r="D9" s="5" t="s">
        <v>80</v>
      </c>
      <c r="E9" s="5" t="s">
        <v>81</v>
      </c>
      <c r="F9" s="43" t="s">
        <v>120</v>
      </c>
      <c r="G9" s="42" t="s">
        <v>79</v>
      </c>
      <c r="H9" s="5" t="s">
        <v>80</v>
      </c>
      <c r="I9" s="5" t="s">
        <v>81</v>
      </c>
      <c r="J9" s="43" t="s">
        <v>120</v>
      </c>
      <c r="K9" s="42" t="s">
        <v>79</v>
      </c>
      <c r="L9" s="5" t="s">
        <v>80</v>
      </c>
      <c r="M9" s="5" t="s">
        <v>81</v>
      </c>
      <c r="N9" s="43" t="s">
        <v>120</v>
      </c>
    </row>
    <row r="10" spans="1:17" x14ac:dyDescent="0.2">
      <c r="A10" s="5">
        <v>1</v>
      </c>
      <c r="B10" s="29">
        <v>2</v>
      </c>
      <c r="C10" s="42">
        <v>3</v>
      </c>
      <c r="D10" s="5">
        <v>4</v>
      </c>
      <c r="E10" s="5">
        <v>5</v>
      </c>
      <c r="F10" s="43">
        <v>6</v>
      </c>
      <c r="G10" s="42">
        <v>3</v>
      </c>
      <c r="H10" s="5">
        <v>4</v>
      </c>
      <c r="I10" s="5">
        <v>5</v>
      </c>
      <c r="J10" s="43">
        <v>6</v>
      </c>
      <c r="K10" s="42">
        <v>3</v>
      </c>
      <c r="L10" s="5">
        <v>4</v>
      </c>
      <c r="M10" s="5">
        <v>5</v>
      </c>
      <c r="N10" s="43">
        <v>6</v>
      </c>
    </row>
    <row r="11" spans="1:17" x14ac:dyDescent="0.2">
      <c r="A11" s="37"/>
      <c r="B11" s="70" t="s">
        <v>82</v>
      </c>
      <c r="C11" s="176">
        <f>F11/D11</f>
        <v>23042.505592841164</v>
      </c>
      <c r="D11" s="107">
        <v>4.47</v>
      </c>
      <c r="E11" s="107"/>
      <c r="F11" s="177">
        <v>103000</v>
      </c>
      <c r="G11" s="178">
        <f>J11/H11</f>
        <v>24161.073825503358</v>
      </c>
      <c r="H11" s="107">
        <v>4.47</v>
      </c>
      <c r="I11" s="108"/>
      <c r="J11" s="179">
        <v>108000</v>
      </c>
      <c r="K11" s="178">
        <f>N11/L11</f>
        <v>25055.928411633111</v>
      </c>
      <c r="L11" s="107">
        <v>4.47</v>
      </c>
      <c r="M11" s="108"/>
      <c r="N11" s="179">
        <v>112000</v>
      </c>
    </row>
    <row r="12" spans="1:17" x14ac:dyDescent="0.2">
      <c r="A12" s="37"/>
      <c r="B12" s="71" t="s">
        <v>83</v>
      </c>
      <c r="C12" s="176"/>
      <c r="D12" s="108"/>
      <c r="E12" s="107"/>
      <c r="F12" s="180"/>
      <c r="G12" s="178"/>
      <c r="H12" s="108"/>
      <c r="I12" s="108"/>
      <c r="J12" s="181"/>
      <c r="K12" s="178"/>
      <c r="L12" s="108"/>
      <c r="M12" s="108"/>
      <c r="N12" s="181"/>
    </row>
    <row r="13" spans="1:17" x14ac:dyDescent="0.2">
      <c r="A13" s="37"/>
      <c r="B13" s="71"/>
      <c r="C13" s="176"/>
      <c r="D13" s="108"/>
      <c r="E13" s="107"/>
      <c r="F13" s="180"/>
      <c r="G13" s="178"/>
      <c r="H13" s="108"/>
      <c r="I13" s="108"/>
      <c r="J13" s="181"/>
      <c r="K13" s="178"/>
      <c r="L13" s="108"/>
      <c r="M13" s="108"/>
      <c r="N13" s="181"/>
    </row>
    <row r="14" spans="1:17" x14ac:dyDescent="0.2">
      <c r="A14" s="37"/>
      <c r="B14" s="71"/>
      <c r="C14" s="176"/>
      <c r="D14" s="108"/>
      <c r="E14" s="107"/>
      <c r="F14" s="180"/>
      <c r="G14" s="178"/>
      <c r="H14" s="108"/>
      <c r="I14" s="108"/>
      <c r="J14" s="182"/>
      <c r="K14" s="178"/>
      <c r="L14" s="108"/>
      <c r="M14" s="108"/>
      <c r="N14" s="182"/>
    </row>
    <row r="15" spans="1:17" x14ac:dyDescent="0.2">
      <c r="A15" s="37"/>
      <c r="B15" s="70" t="s">
        <v>84</v>
      </c>
      <c r="C15" s="176">
        <f>F15/D15</f>
        <v>308.45752677196043</v>
      </c>
      <c r="D15" s="108">
        <v>1616.43</v>
      </c>
      <c r="E15" s="107"/>
      <c r="F15" s="180">
        <f>831000/100*60</f>
        <v>498600</v>
      </c>
      <c r="G15" s="178">
        <f>J15/H15</f>
        <v>310.18964002462388</v>
      </c>
      <c r="H15" s="108">
        <v>1673.17</v>
      </c>
      <c r="I15" s="108"/>
      <c r="J15" s="107">
        <f>865000/100*60</f>
        <v>519000</v>
      </c>
      <c r="K15" s="178">
        <f>N15/L15</f>
        <v>324.17506888122546</v>
      </c>
      <c r="L15" s="108">
        <v>1673.17</v>
      </c>
      <c r="M15" s="108"/>
      <c r="N15" s="107">
        <f>904000/100*60</f>
        <v>542400</v>
      </c>
      <c r="Q15" s="95"/>
    </row>
    <row r="16" spans="1:17" x14ac:dyDescent="0.2">
      <c r="A16" s="37"/>
      <c r="B16" s="71" t="s">
        <v>83</v>
      </c>
      <c r="C16" s="176"/>
      <c r="D16" s="108"/>
      <c r="E16" s="107"/>
      <c r="F16" s="180"/>
      <c r="G16" s="178"/>
      <c r="H16" s="108"/>
      <c r="I16" s="108"/>
      <c r="J16" s="107"/>
      <c r="K16" s="178"/>
      <c r="L16" s="108"/>
      <c r="M16" s="108"/>
      <c r="N16" s="107"/>
      <c r="Q16" s="94"/>
    </row>
    <row r="17" spans="1:17" x14ac:dyDescent="0.2">
      <c r="A17" s="37"/>
      <c r="B17" s="71"/>
      <c r="C17" s="176"/>
      <c r="D17" s="108"/>
      <c r="E17" s="107"/>
      <c r="F17" s="180"/>
      <c r="G17" s="178"/>
      <c r="H17" s="108"/>
      <c r="I17" s="108"/>
      <c r="J17" s="107"/>
      <c r="K17" s="178"/>
      <c r="L17" s="108"/>
      <c r="M17" s="108"/>
      <c r="N17" s="107"/>
      <c r="Q17" s="94"/>
    </row>
    <row r="18" spans="1:17" x14ac:dyDescent="0.2">
      <c r="A18" s="37"/>
      <c r="B18" s="71"/>
      <c r="C18" s="176"/>
      <c r="D18" s="108"/>
      <c r="E18" s="107"/>
      <c r="F18" s="180"/>
      <c r="G18" s="178"/>
      <c r="H18" s="108"/>
      <c r="I18" s="108"/>
      <c r="J18" s="107"/>
      <c r="K18" s="178"/>
      <c r="L18" s="108"/>
      <c r="M18" s="108"/>
      <c r="N18" s="107"/>
      <c r="Q18" s="94"/>
    </row>
    <row r="19" spans="1:17" x14ac:dyDescent="0.2">
      <c r="A19" s="37"/>
      <c r="B19" s="70" t="s">
        <v>85</v>
      </c>
      <c r="C19" s="176">
        <f>F19/D19</f>
        <v>13735.537190082645</v>
      </c>
      <c r="D19" s="108">
        <v>24.2</v>
      </c>
      <c r="E19" s="107"/>
      <c r="F19" s="180">
        <f>831000/100*40</f>
        <v>332400</v>
      </c>
      <c r="G19" s="178">
        <f>J19/H19</f>
        <v>13773.885350318471</v>
      </c>
      <c r="H19" s="108">
        <v>25.12</v>
      </c>
      <c r="I19" s="108"/>
      <c r="J19" s="107">
        <f>865000/100*40</f>
        <v>346000</v>
      </c>
      <c r="K19" s="178">
        <f>N19/L19</f>
        <v>14394.904458598725</v>
      </c>
      <c r="L19" s="108">
        <v>25.12</v>
      </c>
      <c r="M19" s="108"/>
      <c r="N19" s="107">
        <f>904000/100*40</f>
        <v>361600</v>
      </c>
      <c r="Q19" s="94"/>
    </row>
    <row r="20" spans="1:17" x14ac:dyDescent="0.2">
      <c r="A20" s="37"/>
      <c r="B20" s="71" t="s">
        <v>83</v>
      </c>
      <c r="C20" s="176"/>
      <c r="D20" s="108"/>
      <c r="E20" s="107"/>
      <c r="F20" s="180"/>
      <c r="G20" s="178"/>
      <c r="H20" s="108"/>
      <c r="I20" s="108"/>
      <c r="J20" s="107"/>
      <c r="K20" s="178"/>
      <c r="L20" s="108"/>
      <c r="M20" s="108"/>
      <c r="N20" s="182"/>
    </row>
    <row r="21" spans="1:17" x14ac:dyDescent="0.2">
      <c r="A21" s="37"/>
      <c r="B21" s="71"/>
      <c r="C21" s="176"/>
      <c r="D21" s="108"/>
      <c r="E21" s="107"/>
      <c r="F21" s="180"/>
      <c r="G21" s="178"/>
      <c r="H21" s="108"/>
      <c r="I21" s="108"/>
      <c r="J21" s="181"/>
      <c r="K21" s="178"/>
      <c r="L21" s="108"/>
      <c r="M21" s="108"/>
      <c r="N21" s="181"/>
    </row>
    <row r="22" spans="1:17" x14ac:dyDescent="0.2">
      <c r="A22" s="37"/>
      <c r="B22" s="71"/>
      <c r="C22" s="176"/>
      <c r="D22" s="108"/>
      <c r="E22" s="107"/>
      <c r="F22" s="180"/>
      <c r="G22" s="178"/>
      <c r="H22" s="108"/>
      <c r="I22" s="108"/>
      <c r="J22" s="181"/>
      <c r="K22" s="178"/>
      <c r="L22" s="108"/>
      <c r="M22" s="108"/>
      <c r="N22" s="181"/>
    </row>
    <row r="23" spans="1:17" x14ac:dyDescent="0.2">
      <c r="A23" s="37"/>
      <c r="B23" s="70" t="s">
        <v>5</v>
      </c>
      <c r="C23" s="176"/>
      <c r="D23" s="108"/>
      <c r="E23" s="107"/>
      <c r="F23" s="177">
        <f>F15+F19</f>
        <v>831000</v>
      </c>
      <c r="G23" s="178"/>
      <c r="H23" s="108"/>
      <c r="I23" s="108"/>
      <c r="J23" s="179">
        <f>J15+J19</f>
        <v>865000</v>
      </c>
      <c r="K23" s="178"/>
      <c r="L23" s="108"/>
      <c r="M23" s="108"/>
      <c r="N23" s="179">
        <f>N15+N19</f>
        <v>904000</v>
      </c>
    </row>
    <row r="24" spans="1:17" x14ac:dyDescent="0.2">
      <c r="A24" s="37"/>
      <c r="B24" s="71" t="s">
        <v>83</v>
      </c>
      <c r="C24" s="176"/>
      <c r="D24" s="108"/>
      <c r="E24" s="107"/>
      <c r="F24" s="180"/>
      <c r="G24" s="178"/>
      <c r="H24" s="108"/>
      <c r="I24" s="108"/>
      <c r="J24" s="181"/>
      <c r="K24" s="178"/>
      <c r="L24" s="108"/>
      <c r="M24" s="108"/>
      <c r="N24" s="181"/>
    </row>
    <row r="25" spans="1:17" x14ac:dyDescent="0.2">
      <c r="A25" s="37"/>
      <c r="B25" s="71"/>
      <c r="C25" s="176"/>
      <c r="D25" s="108"/>
      <c r="E25" s="107"/>
      <c r="F25" s="180"/>
      <c r="G25" s="178"/>
      <c r="H25" s="108"/>
      <c r="I25" s="108"/>
      <c r="J25" s="181"/>
      <c r="K25" s="178"/>
      <c r="L25" s="108"/>
      <c r="M25" s="108"/>
      <c r="N25" s="181"/>
    </row>
    <row r="26" spans="1:17" x14ac:dyDescent="0.2">
      <c r="A26" s="37"/>
      <c r="B26" s="71"/>
      <c r="C26" s="176"/>
      <c r="D26" s="108"/>
      <c r="E26" s="107"/>
      <c r="F26" s="180"/>
      <c r="G26" s="178"/>
      <c r="H26" s="108"/>
      <c r="I26" s="108"/>
      <c r="J26" s="181"/>
      <c r="K26" s="178"/>
      <c r="L26" s="108"/>
      <c r="M26" s="108"/>
      <c r="N26" s="181"/>
    </row>
    <row r="27" spans="1:17" x14ac:dyDescent="0.2">
      <c r="A27" s="37"/>
      <c r="B27" s="70" t="s">
        <v>86</v>
      </c>
      <c r="C27" s="176"/>
      <c r="D27" s="108"/>
      <c r="E27" s="107"/>
      <c r="F27" s="177">
        <f>F29</f>
        <v>89600</v>
      </c>
      <c r="G27" s="178"/>
      <c r="H27" s="108"/>
      <c r="I27" s="108"/>
      <c r="J27" s="179">
        <f>J29</f>
        <v>93800</v>
      </c>
      <c r="K27" s="178"/>
      <c r="L27" s="108"/>
      <c r="M27" s="108"/>
      <c r="N27" s="179">
        <f>N29</f>
        <v>98000</v>
      </c>
    </row>
    <row r="28" spans="1:17" x14ac:dyDescent="0.2">
      <c r="A28" s="37"/>
      <c r="B28" s="71" t="s">
        <v>83</v>
      </c>
      <c r="C28" s="176"/>
      <c r="D28" s="108"/>
      <c r="E28" s="107"/>
      <c r="F28" s="180"/>
      <c r="G28" s="178"/>
      <c r="H28" s="108"/>
      <c r="I28" s="108"/>
      <c r="J28" s="181"/>
      <c r="K28" s="178"/>
      <c r="L28" s="108"/>
      <c r="M28" s="108"/>
      <c r="N28" s="181"/>
    </row>
    <row r="29" spans="1:17" x14ac:dyDescent="0.2">
      <c r="A29" s="37"/>
      <c r="B29" s="71" t="s">
        <v>166</v>
      </c>
      <c r="C29" s="176">
        <f>F29/D29</f>
        <v>3241.6787264833574</v>
      </c>
      <c r="D29" s="108">
        <v>27.64</v>
      </c>
      <c r="E29" s="107"/>
      <c r="F29" s="180">
        <f>128000/100*70</f>
        <v>89600</v>
      </c>
      <c r="G29" s="178">
        <f>J29/H29</f>
        <v>3554.3766578249338</v>
      </c>
      <c r="H29" s="108">
        <v>26.39</v>
      </c>
      <c r="I29" s="108"/>
      <c r="J29" s="107">
        <f>134000/100*70</f>
        <v>93800</v>
      </c>
      <c r="K29" s="178">
        <f>N29/L29</f>
        <v>3713.5278514588858</v>
      </c>
      <c r="L29" s="108">
        <v>26.39</v>
      </c>
      <c r="M29" s="108"/>
      <c r="N29" s="107">
        <f>140000/100*70</f>
        <v>98000</v>
      </c>
    </row>
    <row r="30" spans="1:17" x14ac:dyDescent="0.2">
      <c r="A30" s="37"/>
      <c r="B30" s="71"/>
      <c r="C30" s="176"/>
      <c r="D30" s="108"/>
      <c r="E30" s="107"/>
      <c r="F30" s="180"/>
      <c r="G30" s="178"/>
      <c r="H30" s="108"/>
      <c r="I30" s="108"/>
      <c r="J30" s="181"/>
      <c r="K30" s="178"/>
      <c r="L30" s="108"/>
      <c r="M30" s="108"/>
      <c r="N30" s="181"/>
    </row>
    <row r="31" spans="1:17" x14ac:dyDescent="0.2">
      <c r="A31" s="37"/>
      <c r="B31" s="71"/>
      <c r="C31" s="176"/>
      <c r="D31" s="107"/>
      <c r="E31" s="107"/>
      <c r="F31" s="180"/>
      <c r="G31" s="176"/>
      <c r="H31" s="107"/>
      <c r="I31" s="107"/>
      <c r="J31" s="180"/>
      <c r="K31" s="176"/>
      <c r="L31" s="107"/>
      <c r="M31" s="107"/>
      <c r="N31" s="180"/>
    </row>
    <row r="32" spans="1:17" x14ac:dyDescent="0.2">
      <c r="A32" s="37"/>
      <c r="B32" s="70" t="s">
        <v>121</v>
      </c>
      <c r="C32" s="176"/>
      <c r="D32" s="108"/>
      <c r="E32" s="107"/>
      <c r="F32" s="177">
        <f>F34+F35</f>
        <v>38400</v>
      </c>
      <c r="G32" s="178"/>
      <c r="H32" s="108"/>
      <c r="I32" s="108"/>
      <c r="J32" s="179">
        <f>J34</f>
        <v>40200</v>
      </c>
      <c r="K32" s="178"/>
      <c r="L32" s="108"/>
      <c r="M32" s="108"/>
      <c r="N32" s="179">
        <f>N34</f>
        <v>42000</v>
      </c>
    </row>
    <row r="33" spans="1:14" x14ac:dyDescent="0.2">
      <c r="A33" s="37"/>
      <c r="B33" s="71" t="s">
        <v>83</v>
      </c>
      <c r="C33" s="176"/>
      <c r="D33" s="108"/>
      <c r="E33" s="107"/>
      <c r="F33" s="180"/>
      <c r="G33" s="178"/>
      <c r="H33" s="108"/>
      <c r="I33" s="108"/>
      <c r="J33" s="181"/>
      <c r="K33" s="178"/>
      <c r="L33" s="108"/>
      <c r="M33" s="108"/>
      <c r="N33" s="181"/>
    </row>
    <row r="34" spans="1:14" x14ac:dyDescent="0.2">
      <c r="A34" s="37"/>
      <c r="B34" s="71" t="s">
        <v>167</v>
      </c>
      <c r="C34" s="176">
        <f>F34/D34</f>
        <v>2397.0037453183522</v>
      </c>
      <c r="D34" s="108">
        <v>16.02</v>
      </c>
      <c r="E34" s="107"/>
      <c r="F34" s="180">
        <f>128000/100*30</f>
        <v>38400</v>
      </c>
      <c r="G34" s="178">
        <f>J34/H34</f>
        <v>2337.2093023255816</v>
      </c>
      <c r="H34" s="108">
        <v>17.2</v>
      </c>
      <c r="I34" s="108"/>
      <c r="J34" s="107">
        <f>134000/100*30</f>
        <v>40200</v>
      </c>
      <c r="K34" s="178">
        <f>N34/L34</f>
        <v>2441.8604651162791</v>
      </c>
      <c r="L34" s="108">
        <v>17.2</v>
      </c>
      <c r="M34" s="108"/>
      <c r="N34" s="107">
        <f>140000/100*30</f>
        <v>42000</v>
      </c>
    </row>
    <row r="35" spans="1:14" x14ac:dyDescent="0.2">
      <c r="A35" s="37"/>
      <c r="B35" s="71"/>
      <c r="C35" s="176"/>
      <c r="D35" s="108"/>
      <c r="E35" s="107"/>
      <c r="F35" s="180"/>
      <c r="G35" s="176"/>
      <c r="H35" s="107"/>
      <c r="I35" s="107"/>
      <c r="J35" s="180"/>
      <c r="K35" s="176"/>
      <c r="L35" s="107"/>
      <c r="M35" s="107"/>
      <c r="N35" s="180"/>
    </row>
    <row r="36" spans="1:14" x14ac:dyDescent="0.2">
      <c r="A36" s="37"/>
      <c r="B36" s="70" t="s">
        <v>5</v>
      </c>
      <c r="C36" s="176"/>
      <c r="D36" s="107"/>
      <c r="E36" s="107"/>
      <c r="F36" s="183">
        <f>F27+F32</f>
        <v>128000</v>
      </c>
      <c r="G36" s="178"/>
      <c r="H36" s="108"/>
      <c r="I36" s="108"/>
      <c r="J36" s="179">
        <f>J27+J32</f>
        <v>134000</v>
      </c>
      <c r="K36" s="178"/>
      <c r="L36" s="108"/>
      <c r="M36" s="108"/>
      <c r="N36" s="179">
        <f>N27+N32</f>
        <v>140000</v>
      </c>
    </row>
    <row r="37" spans="1:14" x14ac:dyDescent="0.2">
      <c r="A37" s="37"/>
      <c r="B37" s="71" t="s">
        <v>83</v>
      </c>
      <c r="C37" s="176"/>
      <c r="D37" s="107"/>
      <c r="E37" s="107"/>
      <c r="F37" s="180"/>
      <c r="G37" s="178"/>
      <c r="H37" s="108"/>
      <c r="I37" s="108"/>
      <c r="J37" s="181"/>
      <c r="K37" s="178"/>
      <c r="L37" s="108"/>
      <c r="M37" s="108"/>
      <c r="N37" s="181"/>
    </row>
    <row r="38" spans="1:14" ht="13.5" thickBot="1" x14ac:dyDescent="0.25">
      <c r="A38" s="19"/>
      <c r="B38" s="60" t="s">
        <v>12</v>
      </c>
      <c r="C38" s="75" t="s">
        <v>22</v>
      </c>
      <c r="D38" s="49" t="s">
        <v>22</v>
      </c>
      <c r="E38" s="49" t="s">
        <v>22</v>
      </c>
      <c r="F38" s="65">
        <f>F11+F23+F36</f>
        <v>1062000</v>
      </c>
      <c r="G38" s="75" t="s">
        <v>22</v>
      </c>
      <c r="H38" s="49" t="s">
        <v>22</v>
      </c>
      <c r="I38" s="49" t="s">
        <v>22</v>
      </c>
      <c r="J38" s="76">
        <f>J11+J23+J36</f>
        <v>1107000</v>
      </c>
      <c r="K38" s="75" t="s">
        <v>22</v>
      </c>
      <c r="L38" s="49" t="s">
        <v>22</v>
      </c>
      <c r="M38" s="49" t="s">
        <v>22</v>
      </c>
      <c r="N38" s="76">
        <f>N11+N23+N36</f>
        <v>1156000</v>
      </c>
    </row>
  </sheetData>
  <mergeCells count="4">
    <mergeCell ref="C8:F8"/>
    <mergeCell ref="G8:J8"/>
    <mergeCell ref="K8:N8"/>
    <mergeCell ref="A1:G1"/>
  </mergeCells>
  <pageMargins left="0.70866141732283472" right="0.70866141732283472" top="0.35433070866141736" bottom="0.35433070866141736" header="0.31496062992125984" footer="0.31496062992125984"/>
  <pageSetup paperSize="9" scale="80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4</vt:i4>
      </vt:variant>
    </vt:vector>
  </HeadingPairs>
  <TitlesOfParts>
    <vt:vector size="20" baseType="lpstr">
      <vt:lpstr>211 с</vt:lpstr>
      <vt:lpstr>213 с</vt:lpstr>
      <vt:lpstr>266с</vt:lpstr>
      <vt:lpstr>211 б</vt:lpstr>
      <vt:lpstr>213 б</vt:lpstr>
      <vt:lpstr>291 851</vt:lpstr>
      <vt:lpstr>291, 853</vt:lpstr>
      <vt:lpstr>221</vt:lpstr>
      <vt:lpstr>223</vt:lpstr>
      <vt:lpstr>223-4</vt:lpstr>
      <vt:lpstr>225</vt:lpstr>
      <vt:lpstr>226</vt:lpstr>
      <vt:lpstr>310</vt:lpstr>
      <vt:lpstr>310 с</vt:lpstr>
      <vt:lpstr>340</vt:lpstr>
      <vt:lpstr>340 с</vt:lpstr>
      <vt:lpstr>'211 б'!Область_печати</vt:lpstr>
      <vt:lpstr>'213 б'!Область_печати</vt:lpstr>
      <vt:lpstr>'213 с'!Область_печати</vt:lpstr>
      <vt:lpstr>'266с'!Область_печати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2022-12-19T02:22:20Z</dcterms:modified>
</cp:coreProperties>
</file>